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45" windowWidth="8115" windowHeight="7200" tabRatio="759"/>
  </bookViews>
  <sheets>
    <sheet name="Inputverdier" sheetId="10" r:id="rId1"/>
    <sheet name="Beregningsmetode 1" sheetId="9" r:id="rId2"/>
    <sheet name="Beregningsmetode 2" sheetId="8" r:id="rId3"/>
    <sheet name="Sensitivitetsanalyse" sheetId="7" r:id="rId4"/>
  </sheets>
  <calcPr calcId="145621"/>
</workbook>
</file>

<file path=xl/calcChain.xml><?xml version="1.0" encoding="utf-8"?>
<calcChain xmlns="http://schemas.openxmlformats.org/spreadsheetml/2006/main">
  <c r="D10" i="10" l="1"/>
  <c r="C20" i="9"/>
  <c r="C6" i="9"/>
  <c r="C7" i="9"/>
  <c r="C9" i="9"/>
  <c r="C11" i="9"/>
  <c r="C21" i="9" l="1"/>
  <c r="C22" i="9" s="1"/>
  <c r="D132" i="7"/>
  <c r="B132" i="7"/>
  <c r="C132" i="7"/>
  <c r="H132" i="7"/>
  <c r="G132" i="7"/>
  <c r="F132" i="7"/>
  <c r="C120" i="7" l="1"/>
  <c r="D120" i="7"/>
  <c r="E120" i="7"/>
  <c r="F120" i="7"/>
  <c r="G120" i="7"/>
  <c r="H120" i="7"/>
  <c r="B120" i="7"/>
  <c r="E119" i="7"/>
  <c r="F119" i="7" s="1"/>
  <c r="F121" i="7" s="1"/>
  <c r="D119" i="7" l="1"/>
  <c r="D121" i="7" s="1"/>
  <c r="G119" i="7"/>
  <c r="G121" i="7" s="1"/>
  <c r="C119" i="7"/>
  <c r="C121" i="7" s="1"/>
  <c r="H119" i="7"/>
  <c r="H121" i="7" s="1"/>
  <c r="B119" i="7"/>
  <c r="B121" i="7" s="1"/>
  <c r="E121" i="7"/>
  <c r="F10" i="8"/>
  <c r="F11" i="8"/>
  <c r="F8" i="8"/>
  <c r="F12" i="8"/>
  <c r="F9" i="8"/>
  <c r="F7" i="8"/>
  <c r="G56" i="8"/>
  <c r="F13" i="8" s="1"/>
  <c r="J26" i="8"/>
  <c r="H26" i="8"/>
  <c r="F26" i="8"/>
  <c r="D26" i="8"/>
  <c r="J25" i="8"/>
  <c r="H25" i="8"/>
  <c r="J21" i="8"/>
  <c r="H21" i="8"/>
  <c r="J20" i="8"/>
  <c r="H20" i="8"/>
  <c r="F21" i="8"/>
  <c r="F20" i="8"/>
  <c r="F25" i="8"/>
  <c r="D21" i="8"/>
  <c r="D20" i="8"/>
  <c r="D25" i="8"/>
  <c r="F14" i="8" l="1"/>
  <c r="F15" i="8" l="1"/>
  <c r="F33" i="8"/>
  <c r="H33" i="8" l="1"/>
  <c r="J33" i="8"/>
  <c r="D33" i="8"/>
  <c r="B15" i="7"/>
  <c r="H110" i="7"/>
  <c r="G110" i="7"/>
  <c r="F110" i="7"/>
  <c r="C110" i="7"/>
  <c r="D110" i="7"/>
  <c r="B110" i="7"/>
  <c r="E110" i="7"/>
  <c r="E107" i="7"/>
  <c r="G107" i="7" s="1"/>
  <c r="G108" i="7" s="1"/>
  <c r="H98" i="7"/>
  <c r="G98" i="7"/>
  <c r="F98" i="7"/>
  <c r="D98" i="7"/>
  <c r="C98" i="7"/>
  <c r="B98" i="7"/>
  <c r="E98" i="7"/>
  <c r="E96" i="7"/>
  <c r="F96" i="7" s="1"/>
  <c r="B6" i="7"/>
  <c r="E86" i="7"/>
  <c r="H86" i="7" s="1"/>
  <c r="E65" i="7"/>
  <c r="B65" i="7" s="1"/>
  <c r="E64" i="7"/>
  <c r="H64" i="7" s="1"/>
  <c r="C55" i="7"/>
  <c r="D55" i="7"/>
  <c r="E55" i="7"/>
  <c r="F55" i="7"/>
  <c r="G55" i="7"/>
  <c r="H55" i="7"/>
  <c r="B55" i="7"/>
  <c r="E54" i="7"/>
  <c r="H54" i="7" s="1"/>
  <c r="B11" i="7"/>
  <c r="F77" i="7"/>
  <c r="G77" i="7"/>
  <c r="H77" i="7"/>
  <c r="C77" i="7"/>
  <c r="D77" i="7"/>
  <c r="E77" i="7"/>
  <c r="B77" i="7"/>
  <c r="E74" i="7"/>
  <c r="C74" i="7" s="1"/>
  <c r="H136" i="7" l="1"/>
  <c r="D136" i="7"/>
  <c r="G136" i="7"/>
  <c r="C136" i="7"/>
  <c r="F136" i="7"/>
  <c r="B136" i="7"/>
  <c r="E136" i="7"/>
  <c r="D79" i="7"/>
  <c r="H125" i="7"/>
  <c r="D125" i="7"/>
  <c r="G125" i="7"/>
  <c r="C125" i="7"/>
  <c r="F125" i="7"/>
  <c r="B125" i="7"/>
  <c r="E125" i="7"/>
  <c r="B7" i="7"/>
  <c r="H107" i="7"/>
  <c r="H108" i="7" s="1"/>
  <c r="D107" i="7"/>
  <c r="D108" i="7" s="1"/>
  <c r="F112" i="7"/>
  <c r="B112" i="7"/>
  <c r="C112" i="7"/>
  <c r="G112" i="7"/>
  <c r="B16" i="7"/>
  <c r="D112" i="7"/>
  <c r="H112" i="7"/>
  <c r="E112" i="7"/>
  <c r="C107" i="7"/>
  <c r="C108" i="7" s="1"/>
  <c r="F107" i="7"/>
  <c r="F108" i="7" s="1"/>
  <c r="E108" i="7"/>
  <c r="B107" i="7"/>
  <c r="B108" i="7" s="1"/>
  <c r="C96" i="7"/>
  <c r="B100" i="7"/>
  <c r="D96" i="7"/>
  <c r="F100" i="7"/>
  <c r="G96" i="7"/>
  <c r="B96" i="7"/>
  <c r="H96" i="7"/>
  <c r="C100" i="7"/>
  <c r="G100" i="7"/>
  <c r="D100" i="7"/>
  <c r="H100" i="7"/>
  <c r="E100" i="7"/>
  <c r="B79" i="7"/>
  <c r="E79" i="7"/>
  <c r="C79" i="7"/>
  <c r="B89" i="7"/>
  <c r="F79" i="7"/>
  <c r="C89" i="7"/>
  <c r="H65" i="7"/>
  <c r="H66" i="7" s="1"/>
  <c r="H56" i="7"/>
  <c r="H89" i="7"/>
  <c r="E75" i="7"/>
  <c r="E56" i="7"/>
  <c r="D65" i="7"/>
  <c r="F74" i="7"/>
  <c r="G79" i="7"/>
  <c r="F65" i="7"/>
  <c r="C65" i="7"/>
  <c r="G89" i="7"/>
  <c r="D89" i="7"/>
  <c r="B74" i="7"/>
  <c r="G65" i="7"/>
  <c r="F89" i="7"/>
  <c r="E89" i="7"/>
  <c r="B86" i="7"/>
  <c r="F86" i="7"/>
  <c r="C86" i="7"/>
  <c r="G86" i="7"/>
  <c r="D86" i="7"/>
  <c r="B64" i="7"/>
  <c r="B66" i="7" s="1"/>
  <c r="F64" i="7"/>
  <c r="C64" i="7"/>
  <c r="G64" i="7"/>
  <c r="E66" i="7"/>
  <c r="D64" i="7"/>
  <c r="H79" i="7"/>
  <c r="B54" i="7"/>
  <c r="B56" i="7" s="1"/>
  <c r="F54" i="7"/>
  <c r="F56" i="7" s="1"/>
  <c r="C54" i="7"/>
  <c r="C56" i="7" s="1"/>
  <c r="G54" i="7"/>
  <c r="G56" i="7" s="1"/>
  <c r="D54" i="7"/>
  <c r="D56" i="7" s="1"/>
  <c r="H74" i="7"/>
  <c r="D74" i="7"/>
  <c r="G74" i="7"/>
  <c r="B17" i="7" l="1"/>
  <c r="E76" i="7"/>
  <c r="E78" i="7" s="1"/>
  <c r="B109" i="7"/>
  <c r="F97" i="7"/>
  <c r="F99" i="7" s="1"/>
  <c r="F101" i="7" s="1"/>
  <c r="F102" i="7" s="1"/>
  <c r="F103" i="7" s="1"/>
  <c r="H97" i="7"/>
  <c r="H99" i="7" s="1"/>
  <c r="H101" i="7" s="1"/>
  <c r="H102" i="7" s="1"/>
  <c r="H103" i="7" s="1"/>
  <c r="D97" i="7"/>
  <c r="D99" i="7" s="1"/>
  <c r="D101" i="7" s="1"/>
  <c r="D102" i="7" s="1"/>
  <c r="D103" i="7" s="1"/>
  <c r="D109" i="7"/>
  <c r="E97" i="7"/>
  <c r="E99" i="7" s="1"/>
  <c r="E101" i="7" s="1"/>
  <c r="E102" i="7" s="1"/>
  <c r="E103" i="7" s="1"/>
  <c r="C109" i="7"/>
  <c r="H109" i="7"/>
  <c r="G97" i="7"/>
  <c r="G99" i="7" s="1"/>
  <c r="G101" i="7" s="1"/>
  <c r="G102" i="7" s="1"/>
  <c r="G103" i="7" s="1"/>
  <c r="C97" i="7"/>
  <c r="C99" i="7" s="1"/>
  <c r="C101" i="7" s="1"/>
  <c r="C102" i="7" s="1"/>
  <c r="C103" i="7" s="1"/>
  <c r="F109" i="7"/>
  <c r="B97" i="7"/>
  <c r="B99" i="7" s="1"/>
  <c r="B101" i="7" s="1"/>
  <c r="B102" i="7" s="1"/>
  <c r="B103" i="7" s="1"/>
  <c r="E109" i="7"/>
  <c r="G109" i="7"/>
  <c r="G111" i="7" s="1"/>
  <c r="G66" i="7"/>
  <c r="C66" i="7"/>
  <c r="D66" i="7"/>
  <c r="F66" i="7"/>
  <c r="G75" i="7"/>
  <c r="D75" i="7"/>
  <c r="C75" i="7"/>
  <c r="F75" i="7"/>
  <c r="H75" i="7"/>
  <c r="B75" i="7"/>
  <c r="G134" i="7" l="1"/>
  <c r="G135" i="7" s="1"/>
  <c r="G137" i="7" s="1"/>
  <c r="G138" i="7" s="1"/>
  <c r="G139" i="7" s="1"/>
  <c r="F134" i="7"/>
  <c r="F135" i="7" s="1"/>
  <c r="F137" i="7" s="1"/>
  <c r="F138" i="7" s="1"/>
  <c r="F139" i="7" s="1"/>
  <c r="B134" i="7"/>
  <c r="B135" i="7" s="1"/>
  <c r="B137" i="7" s="1"/>
  <c r="B138" i="7" s="1"/>
  <c r="B139" i="7" s="1"/>
  <c r="E134" i="7"/>
  <c r="E135" i="7" s="1"/>
  <c r="E137" i="7" s="1"/>
  <c r="E138" i="7" s="1"/>
  <c r="E139" i="7" s="1"/>
  <c r="H134" i="7"/>
  <c r="H135" i="7" s="1"/>
  <c r="H137" i="7" s="1"/>
  <c r="H138" i="7" s="1"/>
  <c r="H139" i="7" s="1"/>
  <c r="D134" i="7"/>
  <c r="D135" i="7" s="1"/>
  <c r="D137" i="7" s="1"/>
  <c r="D138" i="7" s="1"/>
  <c r="D139" i="7" s="1"/>
  <c r="C134" i="7"/>
  <c r="C135" i="7" s="1"/>
  <c r="C137" i="7" s="1"/>
  <c r="C138" i="7" s="1"/>
  <c r="C139" i="7" s="1"/>
  <c r="C123" i="7"/>
  <c r="C124" i="7" s="1"/>
  <c r="C126" i="7" s="1"/>
  <c r="C127" i="7" s="1"/>
  <c r="C128" i="7" s="1"/>
  <c r="G123" i="7"/>
  <c r="G124" i="7" s="1"/>
  <c r="G126" i="7" s="1"/>
  <c r="G127" i="7" s="1"/>
  <c r="G128" i="7" s="1"/>
  <c r="D123" i="7"/>
  <c r="D124" i="7" s="1"/>
  <c r="D126" i="7" s="1"/>
  <c r="D127" i="7" s="1"/>
  <c r="D128" i="7" s="1"/>
  <c r="H123" i="7"/>
  <c r="H124" i="7" s="1"/>
  <c r="H126" i="7" s="1"/>
  <c r="H127" i="7" s="1"/>
  <c r="H128" i="7" s="1"/>
  <c r="E123" i="7"/>
  <c r="E124" i="7" s="1"/>
  <c r="E126" i="7" s="1"/>
  <c r="E127" i="7" s="1"/>
  <c r="E128" i="7" s="1"/>
  <c r="B123" i="7"/>
  <c r="B124" i="7" s="1"/>
  <c r="B126" i="7" s="1"/>
  <c r="B127" i="7" s="1"/>
  <c r="B128" i="7" s="1"/>
  <c r="F123" i="7"/>
  <c r="F124" i="7" s="1"/>
  <c r="F126" i="7" s="1"/>
  <c r="F127" i="7" s="1"/>
  <c r="F128" i="7" s="1"/>
  <c r="B19" i="7"/>
  <c r="E57" i="7" s="1"/>
  <c r="E58" i="7" s="1"/>
  <c r="D87" i="7"/>
  <c r="D88" i="7" s="1"/>
  <c r="D90" i="7" s="1"/>
  <c r="D91" i="7" s="1"/>
  <c r="D92" i="7" s="1"/>
  <c r="G87" i="7"/>
  <c r="G88" i="7" s="1"/>
  <c r="G90" i="7" s="1"/>
  <c r="G91" i="7" s="1"/>
  <c r="G92" i="7" s="1"/>
  <c r="C87" i="7"/>
  <c r="C88" i="7" s="1"/>
  <c r="C90" i="7" s="1"/>
  <c r="C91" i="7" s="1"/>
  <c r="C92" i="7" s="1"/>
  <c r="H87" i="7"/>
  <c r="H88" i="7" s="1"/>
  <c r="H90" i="7" s="1"/>
  <c r="H91" i="7" s="1"/>
  <c r="H92" i="7" s="1"/>
  <c r="B87" i="7"/>
  <c r="B88" i="7" s="1"/>
  <c r="B90" i="7" s="1"/>
  <c r="B91" i="7" s="1"/>
  <c r="B92" i="7" s="1"/>
  <c r="E87" i="7"/>
  <c r="E88" i="7" s="1"/>
  <c r="E90" i="7" s="1"/>
  <c r="E91" i="7" s="1"/>
  <c r="E92" i="7" s="1"/>
  <c r="F87" i="7"/>
  <c r="F88" i="7" s="1"/>
  <c r="F90" i="7" s="1"/>
  <c r="F91" i="7" s="1"/>
  <c r="F92" i="7" s="1"/>
  <c r="C76" i="7"/>
  <c r="C78" i="7" s="1"/>
  <c r="C80" i="7" s="1"/>
  <c r="C81" i="7" s="1"/>
  <c r="C82" i="7" s="1"/>
  <c r="B76" i="7"/>
  <c r="B78" i="7" s="1"/>
  <c r="B80" i="7" s="1"/>
  <c r="B81" i="7" s="1"/>
  <c r="D76" i="7"/>
  <c r="D78" i="7" s="1"/>
  <c r="D80" i="7" s="1"/>
  <c r="D81" i="7" s="1"/>
  <c r="D82" i="7" s="1"/>
  <c r="H76" i="7"/>
  <c r="H78" i="7" s="1"/>
  <c r="H80" i="7" s="1"/>
  <c r="H81" i="7" s="1"/>
  <c r="H82" i="7" s="1"/>
  <c r="G76" i="7"/>
  <c r="G78" i="7" s="1"/>
  <c r="G80" i="7" s="1"/>
  <c r="G81" i="7" s="1"/>
  <c r="G82" i="7" s="1"/>
  <c r="F76" i="7"/>
  <c r="F78" i="7" s="1"/>
  <c r="F80" i="7" s="1"/>
  <c r="F81" i="7" s="1"/>
  <c r="F82" i="7" s="1"/>
  <c r="E80" i="7"/>
  <c r="E81" i="7" s="1"/>
  <c r="E82" i="7" s="1"/>
  <c r="D28" i="8" l="1"/>
  <c r="J28" i="8"/>
  <c r="H28" i="8"/>
  <c r="F28" i="8"/>
  <c r="H39" i="8"/>
  <c r="H40" i="8" s="1"/>
  <c r="F39" i="8"/>
  <c r="F40" i="8" s="1"/>
  <c r="D39" i="8"/>
  <c r="D40" i="8" s="1"/>
  <c r="J39" i="8"/>
  <c r="J40" i="8" s="1"/>
  <c r="D29" i="8"/>
  <c r="F34" i="8"/>
  <c r="D34" i="8"/>
  <c r="J34" i="8"/>
  <c r="H34" i="8"/>
  <c r="J23" i="8"/>
  <c r="F29" i="8"/>
  <c r="D23" i="8"/>
  <c r="H23" i="8"/>
  <c r="J29" i="8"/>
  <c r="J19" i="8"/>
  <c r="F19" i="8"/>
  <c r="H29" i="8"/>
  <c r="H19" i="8"/>
  <c r="F23" i="8"/>
  <c r="D19" i="8"/>
  <c r="D27" i="8"/>
  <c r="J27" i="8"/>
  <c r="F27" i="8"/>
  <c r="H27" i="8"/>
  <c r="H57" i="7"/>
  <c r="H58" i="7" s="1"/>
  <c r="H59" i="7" s="1"/>
  <c r="H60" i="7" s="1"/>
  <c r="C57" i="7"/>
  <c r="C58" i="7" s="1"/>
  <c r="C59" i="7" s="1"/>
  <c r="C60" i="7" s="1"/>
  <c r="B57" i="7"/>
  <c r="B58" i="7" s="1"/>
  <c r="B59" i="7" s="1"/>
  <c r="B60" i="7" s="1"/>
  <c r="E111" i="7"/>
  <c r="E113" i="7" s="1"/>
  <c r="E114" i="7" s="1"/>
  <c r="E115" i="7" s="1"/>
  <c r="D111" i="7"/>
  <c r="D113" i="7" s="1"/>
  <c r="D114" i="7" s="1"/>
  <c r="D115" i="7" s="1"/>
  <c r="H111" i="7"/>
  <c r="H113" i="7" s="1"/>
  <c r="H114" i="7" s="1"/>
  <c r="H115" i="7" s="1"/>
  <c r="C111" i="7"/>
  <c r="C113" i="7" s="1"/>
  <c r="C114" i="7" s="1"/>
  <c r="C115" i="7" s="1"/>
  <c r="G113" i="7"/>
  <c r="G114" i="7" s="1"/>
  <c r="G115" i="7" s="1"/>
  <c r="B111" i="7"/>
  <c r="B113" i="7" s="1"/>
  <c r="B114" i="7" s="1"/>
  <c r="B115" i="7" s="1"/>
  <c r="F111" i="7"/>
  <c r="F113" i="7" s="1"/>
  <c r="F114" i="7" s="1"/>
  <c r="F115" i="7" s="1"/>
  <c r="G57" i="7"/>
  <c r="G58" i="7" s="1"/>
  <c r="G59" i="7" s="1"/>
  <c r="G60" i="7" s="1"/>
  <c r="D57" i="7"/>
  <c r="D58" i="7" s="1"/>
  <c r="D59" i="7" s="1"/>
  <c r="D60" i="7" s="1"/>
  <c r="F57" i="7"/>
  <c r="F58" i="7" s="1"/>
  <c r="F59" i="7" s="1"/>
  <c r="F60" i="7" s="1"/>
  <c r="B82" i="7"/>
  <c r="E59" i="7"/>
  <c r="E60" i="7" s="1"/>
  <c r="J30" i="8" l="1"/>
  <c r="J36" i="8" s="1"/>
  <c r="C8" i="9"/>
  <c r="C10" i="9" s="1"/>
  <c r="C12" i="9" s="1"/>
  <c r="C13" i="9" s="1"/>
  <c r="C14" i="9" s="1"/>
  <c r="H30" i="8"/>
  <c r="H36" i="8" s="1"/>
  <c r="H42" i="8" s="1"/>
  <c r="H43" i="8" s="1"/>
  <c r="D30" i="8"/>
  <c r="F30" i="8"/>
  <c r="F36" i="8" s="1"/>
  <c r="F42" i="8" s="1"/>
  <c r="F43" i="8" s="1"/>
  <c r="F67" i="7" l="1"/>
  <c r="F68" i="7" s="1"/>
  <c r="F69" i="7" s="1"/>
  <c r="F70" i="7" s="1"/>
  <c r="C67" i="7"/>
  <c r="C68" i="7" s="1"/>
  <c r="C69" i="7" s="1"/>
  <c r="C70" i="7" s="1"/>
  <c r="G67" i="7"/>
  <c r="G68" i="7" s="1"/>
  <c r="G69" i="7" s="1"/>
  <c r="G70" i="7" s="1"/>
  <c r="D67" i="7"/>
  <c r="D68" i="7" s="1"/>
  <c r="D69" i="7" s="1"/>
  <c r="D70" i="7" s="1"/>
  <c r="H67" i="7"/>
  <c r="H68" i="7" s="1"/>
  <c r="H69" i="7" s="1"/>
  <c r="H70" i="7" s="1"/>
  <c r="E67" i="7"/>
  <c r="E68" i="7" s="1"/>
  <c r="E69" i="7" s="1"/>
  <c r="E70" i="7" s="1"/>
  <c r="B67" i="7"/>
  <c r="B68" i="7" s="1"/>
  <c r="B69" i="7" s="1"/>
  <c r="B70" i="7" s="1"/>
  <c r="J42" i="8"/>
  <c r="J43" i="8" s="1"/>
  <c r="D36" i="8"/>
  <c r="D42" i="8" s="1"/>
  <c r="J31" i="8"/>
  <c r="J37" i="8" s="1"/>
  <c r="F31" i="8"/>
  <c r="F37" i="8" s="1"/>
  <c r="H31" i="8"/>
  <c r="H37" i="8" s="1"/>
  <c r="D31" i="8"/>
  <c r="C45" i="8" l="1"/>
  <c r="D37" i="8"/>
  <c r="L31" i="8"/>
  <c r="D43" i="8"/>
</calcChain>
</file>

<file path=xl/sharedStrings.xml><?xml version="1.0" encoding="utf-8"?>
<sst xmlns="http://schemas.openxmlformats.org/spreadsheetml/2006/main" count="433" uniqueCount="128">
  <si>
    <t>MW</t>
  </si>
  <si>
    <t>Installert effekt</t>
  </si>
  <si>
    <t>GWh/år</t>
  </si>
  <si>
    <t>Prosjektledelse</t>
  </si>
  <si>
    <t>Input:</t>
  </si>
  <si>
    <t>CAPEX:</t>
  </si>
  <si>
    <t xml:space="preserve">  Fundamentkostnad</t>
  </si>
  <si>
    <t xml:space="preserve">  Grunnkostnad</t>
  </si>
  <si>
    <t xml:space="preserve">  Prosjektledelse</t>
  </si>
  <si>
    <t xml:space="preserve">  Turbinkostnad</t>
  </si>
  <si>
    <t>Summert total</t>
  </si>
  <si>
    <t>OPEX:</t>
  </si>
  <si>
    <t xml:space="preserve">  Vei og anlegg</t>
  </si>
  <si>
    <t>Vei og anlegg</t>
  </si>
  <si>
    <t>kr/kWh</t>
  </si>
  <si>
    <t>Elsertifikatpris</t>
  </si>
  <si>
    <t>Turbinstørrelse</t>
  </si>
  <si>
    <t>Årlig administrasjon for hele anlegget</t>
  </si>
  <si>
    <t>øre/kWh</t>
  </si>
  <si>
    <t>Årlig leie til grunneier</t>
  </si>
  <si>
    <t>kNOK/år</t>
  </si>
  <si>
    <t>Årlig erstatning reindrift</t>
  </si>
  <si>
    <t>Eiendomsskatt</t>
  </si>
  <si>
    <t>øre/kWh/år</t>
  </si>
  <si>
    <t>Vedlikeholdskostnad for bygg og anlegg</t>
  </si>
  <si>
    <t>% av anleggskostnad</t>
  </si>
  <si>
    <t>Vedlikeholdskostnad for produksjonsradial</t>
  </si>
  <si>
    <t>Forsikringer - Turbiner- Brann og lynnedslag</t>
  </si>
  <si>
    <t>NOK/turbin/år</t>
  </si>
  <si>
    <t>Forsikringer - Bygninger</t>
  </si>
  <si>
    <t>Energiproduksjon</t>
  </si>
  <si>
    <t>Antall turbiner</t>
  </si>
  <si>
    <t>stk</t>
  </si>
  <si>
    <t>Vedlikeholdskostnad for turbiner</t>
  </si>
  <si>
    <t>Modell for vindkraftprosjekters lønnsomhet</t>
  </si>
  <si>
    <t>Årlig drift- og vedlikeholdskostnad</t>
  </si>
  <si>
    <t>Fyll inn ønskede verdier</t>
  </si>
  <si>
    <t>Resultater fra modellen</t>
  </si>
  <si>
    <t>Investeringskostnad</t>
  </si>
  <si>
    <t>MNOK</t>
  </si>
  <si>
    <t>Driftskostnad</t>
  </si>
  <si>
    <t>timer</t>
  </si>
  <si>
    <t>Total produksjonskostnad</t>
  </si>
  <si>
    <t>Levetid</t>
  </si>
  <si>
    <t>år</t>
  </si>
  <si>
    <t>Kraftpris inkl. elsertifikater</t>
  </si>
  <si>
    <t>Spotpris</t>
  </si>
  <si>
    <t>Forutsetninger for analysen</t>
  </si>
  <si>
    <t>MNOK/MW</t>
  </si>
  <si>
    <t>Annuitetsfaktor</t>
  </si>
  <si>
    <t>MNOK/MWh</t>
  </si>
  <si>
    <t>DRIFT:</t>
  </si>
  <si>
    <t>INVESTERING:</t>
  </si>
  <si>
    <t>kr/kWh per år</t>
  </si>
  <si>
    <t>MNOK per år</t>
  </si>
  <si>
    <t>MNOK per levetid</t>
  </si>
  <si>
    <t>Basisscenario:</t>
  </si>
  <si>
    <t>Kraftpris inkl. elsert.</t>
  </si>
  <si>
    <t>Brukstid</t>
  </si>
  <si>
    <t>Basis</t>
  </si>
  <si>
    <t>timer/år</t>
  </si>
  <si>
    <t>kr/kWh år</t>
  </si>
  <si>
    <t>Enhet</t>
  </si>
  <si>
    <t>Produksjon</t>
  </si>
  <si>
    <t>Kalkulasjonsrente</t>
  </si>
  <si>
    <t>Fullasttimer</t>
  </si>
  <si>
    <t>Kostnad år 1-5</t>
  </si>
  <si>
    <t>Kostnad år 6-10</t>
  </si>
  <si>
    <t>Kostnad år 11-15</t>
  </si>
  <si>
    <t>av omsetning</t>
  </si>
  <si>
    <t>Årlig produksjonskostnad</t>
  </si>
  <si>
    <t>Årlig inntekt</t>
  </si>
  <si>
    <t>Inv.kost. ekst. nett</t>
  </si>
  <si>
    <t>Forutsetninger for OPEX-analysen:</t>
  </si>
  <si>
    <t>Forutsetninger for CAPEX-analysen:</t>
  </si>
  <si>
    <t>Total</t>
  </si>
  <si>
    <t>Fundament</t>
  </si>
  <si>
    <t>Grunn</t>
  </si>
  <si>
    <t>Internt nett</t>
  </si>
  <si>
    <t>Eksternt nett</t>
  </si>
  <si>
    <t>Gis som input</t>
  </si>
  <si>
    <t>Nettleie</t>
  </si>
  <si>
    <t>Balanseringskostnad</t>
  </si>
  <si>
    <t>Effektledd</t>
  </si>
  <si>
    <t>Energiledd</t>
  </si>
  <si>
    <t>Nettleie - effektledd</t>
  </si>
  <si>
    <t>Nettleie - energiledd</t>
  </si>
  <si>
    <t>kr/kWh i gjennomsnitt</t>
  </si>
  <si>
    <t>Hentet fra ark "Kostnadsfordeling og resultat" ved ulike innmatingsavgifter</t>
  </si>
  <si>
    <t>Sensitivitetsanalyse</t>
  </si>
  <si>
    <t>Kostnad år 16-20</t>
  </si>
  <si>
    <t>Nettleie (effekt- og energiledd)</t>
  </si>
  <si>
    <t>Årlig drift- og vedlikeholdskostnad per energiproduksjon</t>
  </si>
  <si>
    <t>Årlig produksjonskostnad per energiproduksjon</t>
  </si>
  <si>
    <t>Årlig inntekt per energiproduksjon</t>
  </si>
  <si>
    <t>Årlig resultat per energiproduksjon</t>
  </si>
  <si>
    <t xml:space="preserve">  Intern nettkostnad</t>
  </si>
  <si>
    <t xml:space="preserve">  Ekstern nettkostnad</t>
  </si>
  <si>
    <t>GWh</t>
  </si>
  <si>
    <t>Årlig driftskostnad</t>
  </si>
  <si>
    <t>Total årlig produksjonskostnad</t>
  </si>
  <si>
    <t>Beregningsmetode 1</t>
  </si>
  <si>
    <t>Beregningsmetode 2</t>
  </si>
  <si>
    <t>Vedlikeholdskostnad turbiner år 1-5</t>
  </si>
  <si>
    <t>Vedlikeholdskostnad turbiner år 6-10</t>
  </si>
  <si>
    <t>Vedlikeholdskostnad turbiner år 11-15</t>
  </si>
  <si>
    <t>Vedlikeholdskostnad turbiner år 16-20</t>
  </si>
  <si>
    <t>Forsikringer - Turbiner - Brann og lynnedslag</t>
  </si>
  <si>
    <t>Investeringskostnad per MW</t>
  </si>
  <si>
    <t>Årlig kostnad for investering*</t>
  </si>
  <si>
    <t>Årlig kostnad for investering per energiproduksjon*</t>
  </si>
  <si>
    <t>Turbin</t>
  </si>
  <si>
    <t>Årlig kostnad investering*</t>
  </si>
  <si>
    <t>Årlig resultatper kWh**</t>
  </si>
  <si>
    <t>Årlig resultat**</t>
  </si>
  <si>
    <t>Resultat per levetid**</t>
  </si>
  <si>
    <t>** Resultat inkluderer grunnleie, eiendomsskatt og kapitalkostnad</t>
  </si>
  <si>
    <t>Årlig investeringskostnad*</t>
  </si>
  <si>
    <t>Årlig investeringskostnad per energiproduksjon*</t>
  </si>
  <si>
    <t>Årlig resultat per energiproduksjon**</t>
  </si>
  <si>
    <t>Erfaringstall fra Multiconsult er brukt</t>
  </si>
  <si>
    <t>Årlig kostnad investering per energiproduksjon*</t>
  </si>
  <si>
    <t>Drifts- og vedlikeholdskostnad</t>
  </si>
  <si>
    <t>* Kapitalkostnad (per energiproduksjon)</t>
  </si>
  <si>
    <t>Årlig drifts- og vedlikeholds-kostnad</t>
  </si>
  <si>
    <t>Nettleie(energiledd)</t>
  </si>
  <si>
    <t>Inputverdier</t>
  </si>
  <si>
    <t>Laget av Mona Helen Skorstad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</si>
</sst>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kr&quot;\ #,##0.00;[Red]&quot;kr&quot;\ \-#,##0.00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\ %"/>
    <numFmt numFmtId="167" formatCode="0.000"/>
    <numFmt numFmtId="168" formatCode="_ * #,##0.0000_ ;_ * \-#,##0.0000_ ;_ * &quot;-&quot;??_ ;_ @_ "/>
    <numFmt numFmtId="169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</cellStyleXfs>
  <cellXfs count="293">
    <xf numFmtId="0" fontId="0" fillId="0" borderId="0" xfId="0"/>
    <xf numFmtId="0" fontId="1" fillId="3" borderId="11" xfId="2" applyFont="1" applyBorder="1"/>
    <xf numFmtId="0" fontId="1" fillId="0" borderId="0" xfId="0" applyFont="1"/>
    <xf numFmtId="0" fontId="1" fillId="7" borderId="14" xfId="0" applyFont="1" applyFill="1" applyBorder="1"/>
    <xf numFmtId="0" fontId="1" fillId="7" borderId="11" xfId="0" applyFont="1" applyFill="1" applyBorder="1"/>
    <xf numFmtId="0" fontId="0" fillId="7" borderId="6" xfId="0" applyFill="1" applyBorder="1"/>
    <xf numFmtId="0" fontId="1" fillId="0" borderId="0" xfId="0" applyFont="1" applyFill="1" applyBorder="1"/>
    <xf numFmtId="0" fontId="1" fillId="3" borderId="14" xfId="2" applyFont="1" applyBorder="1"/>
    <xf numFmtId="0" fontId="0" fillId="5" borderId="16" xfId="0" applyFill="1" applyBorder="1"/>
    <xf numFmtId="0" fontId="6" fillId="5" borderId="9" xfId="0" applyFont="1" applyFill="1" applyBorder="1" applyAlignment="1"/>
    <xf numFmtId="0" fontId="0" fillId="5" borderId="5" xfId="0" applyFill="1" applyBorder="1"/>
    <xf numFmtId="0" fontId="0" fillId="5" borderId="0" xfId="0" applyFill="1" applyBorder="1"/>
    <xf numFmtId="0" fontId="8" fillId="6" borderId="25" xfId="0" applyFont="1" applyFill="1" applyBorder="1"/>
    <xf numFmtId="0" fontId="1" fillId="8" borderId="10" xfId="1" applyFont="1" applyFill="1" applyBorder="1"/>
    <xf numFmtId="0" fontId="1" fillId="3" borderId="8" xfId="2" applyFont="1" applyBorder="1"/>
    <xf numFmtId="0" fontId="1" fillId="3" borderId="4" xfId="2" applyFont="1" applyBorder="1"/>
    <xf numFmtId="0" fontId="1" fillId="8" borderId="19" xfId="1" applyFont="1" applyFill="1" applyBorder="1"/>
    <xf numFmtId="0" fontId="1" fillId="3" borderId="3" xfId="2" applyFont="1" applyBorder="1"/>
    <xf numFmtId="0" fontId="1" fillId="3" borderId="20" xfId="2" applyFont="1" applyBorder="1"/>
    <xf numFmtId="0" fontId="1" fillId="8" borderId="22" xfId="1" applyFont="1" applyFill="1" applyBorder="1"/>
    <xf numFmtId="0" fontId="1" fillId="8" borderId="28" xfId="1" applyFont="1" applyFill="1" applyBorder="1"/>
    <xf numFmtId="0" fontId="1" fillId="8" borderId="12" xfId="1" applyFont="1" applyFill="1" applyBorder="1"/>
    <xf numFmtId="0" fontId="1" fillId="8" borderId="29" xfId="1" applyFont="1" applyFill="1" applyBorder="1"/>
    <xf numFmtId="0" fontId="0" fillId="5" borderId="15" xfId="0" applyFill="1" applyBorder="1"/>
    <xf numFmtId="0" fontId="0" fillId="5" borderId="13" xfId="0" applyFill="1" applyBorder="1"/>
    <xf numFmtId="0" fontId="0" fillId="0" borderId="0" xfId="0" applyAlignment="1">
      <alignment horizontal="center" vertical="top" wrapText="1"/>
    </xf>
    <xf numFmtId="2" fontId="0" fillId="7" borderId="30" xfId="0" applyNumberFormat="1" applyFill="1" applyBorder="1"/>
    <xf numFmtId="2" fontId="0" fillId="7" borderId="31" xfId="0" applyNumberFormat="1" applyFill="1" applyBorder="1"/>
    <xf numFmtId="0" fontId="1" fillId="6" borderId="25" xfId="0" applyFont="1" applyFill="1" applyBorder="1"/>
    <xf numFmtId="2" fontId="0" fillId="7" borderId="30" xfId="0" applyNumberFormat="1" applyFont="1" applyFill="1" applyBorder="1"/>
    <xf numFmtId="0" fontId="1" fillId="8" borderId="38" xfId="0" applyFont="1" applyFill="1" applyBorder="1"/>
    <xf numFmtId="2" fontId="0" fillId="7" borderId="31" xfId="0" applyNumberFormat="1" applyFont="1" applyFill="1" applyBorder="1"/>
    <xf numFmtId="0" fontId="9" fillId="0" borderId="0" xfId="0" applyFont="1"/>
    <xf numFmtId="0" fontId="0" fillId="7" borderId="30" xfId="0" applyFill="1" applyBorder="1"/>
    <xf numFmtId="0" fontId="1" fillId="7" borderId="30" xfId="0" applyFont="1" applyFill="1" applyBorder="1"/>
    <xf numFmtId="2" fontId="1" fillId="7" borderId="30" xfId="0" applyNumberFormat="1" applyFont="1" applyFill="1" applyBorder="1"/>
    <xf numFmtId="1" fontId="0" fillId="7" borderId="30" xfId="0" applyNumberFormat="1" applyFill="1" applyBorder="1"/>
    <xf numFmtId="1" fontId="1" fillId="7" borderId="30" xfId="0" applyNumberFormat="1" applyFont="1" applyFill="1" applyBorder="1"/>
    <xf numFmtId="0" fontId="0" fillId="7" borderId="35" xfId="0" applyFill="1" applyBorder="1"/>
    <xf numFmtId="1" fontId="0" fillId="7" borderId="36" xfId="0" applyNumberFormat="1" applyFill="1" applyBorder="1"/>
    <xf numFmtId="1" fontId="1" fillId="7" borderId="36" xfId="0" applyNumberFormat="1" applyFont="1" applyFill="1" applyBorder="1"/>
    <xf numFmtId="0" fontId="0" fillId="7" borderId="37" xfId="0" applyFill="1" applyBorder="1"/>
    <xf numFmtId="0" fontId="0" fillId="7" borderId="31" xfId="0" applyFill="1" applyBorder="1"/>
    <xf numFmtId="0" fontId="1" fillId="7" borderId="31" xfId="0" applyFont="1" applyFill="1" applyBorder="1"/>
    <xf numFmtId="0" fontId="0" fillId="7" borderId="34" xfId="0" applyFill="1" applyBorder="1"/>
    <xf numFmtId="9" fontId="3" fillId="6" borderId="32" xfId="0" applyNumberFormat="1" applyFont="1" applyFill="1" applyBorder="1" applyAlignment="1">
      <alignment horizontal="right" vertical="center"/>
    </xf>
    <xf numFmtId="0" fontId="3" fillId="6" borderId="32" xfId="0" applyFont="1" applyFill="1" applyBorder="1" applyAlignment="1">
      <alignment horizontal="right" vertical="center"/>
    </xf>
    <xf numFmtId="0" fontId="3" fillId="6" borderId="33" xfId="0" applyFont="1" applyFill="1" applyBorder="1" applyAlignment="1">
      <alignment horizontal="center" vertical="center"/>
    </xf>
    <xf numFmtId="0" fontId="1" fillId="8" borderId="23" xfId="0" applyFont="1" applyFill="1" applyBorder="1"/>
    <xf numFmtId="0" fontId="0" fillId="7" borderId="39" xfId="0" applyFill="1" applyBorder="1"/>
    <xf numFmtId="2" fontId="0" fillId="7" borderId="40" xfId="0" applyNumberFormat="1" applyFill="1" applyBorder="1"/>
    <xf numFmtId="2" fontId="1" fillId="7" borderId="31" xfId="0" applyNumberFormat="1" applyFont="1" applyFill="1" applyBorder="1"/>
    <xf numFmtId="9" fontId="3" fillId="6" borderId="32" xfId="5" applyFont="1" applyFill="1" applyBorder="1" applyAlignment="1">
      <alignment horizontal="right" vertical="center"/>
    </xf>
    <xf numFmtId="1" fontId="0" fillId="7" borderId="30" xfId="0" applyNumberFormat="1" applyFont="1" applyFill="1" applyBorder="1"/>
    <xf numFmtId="0" fontId="0" fillId="7" borderId="31" xfId="0" applyFont="1" applyFill="1" applyBorder="1"/>
    <xf numFmtId="166" fontId="0" fillId="7" borderId="40" xfId="5" applyNumberFormat="1" applyFont="1" applyFill="1" applyBorder="1"/>
    <xf numFmtId="166" fontId="0" fillId="7" borderId="31" xfId="5" applyNumberFormat="1" applyFont="1" applyFill="1" applyBorder="1"/>
    <xf numFmtId="166" fontId="1" fillId="7" borderId="31" xfId="5" applyNumberFormat="1" applyFont="1" applyFill="1" applyBorder="1"/>
    <xf numFmtId="0" fontId="4" fillId="0" borderId="0" xfId="0" applyFont="1"/>
    <xf numFmtId="0" fontId="0" fillId="7" borderId="27" xfId="0" applyFill="1" applyBorder="1"/>
    <xf numFmtId="43" fontId="0" fillId="0" borderId="0" xfId="4" applyFont="1"/>
    <xf numFmtId="43" fontId="0" fillId="7" borderId="16" xfId="4" applyFont="1" applyFill="1" applyBorder="1"/>
    <xf numFmtId="0" fontId="0" fillId="7" borderId="4" xfId="0" applyFill="1" applyBorder="1"/>
    <xf numFmtId="43" fontId="0" fillId="7" borderId="5" xfId="4" applyFont="1" applyFill="1" applyBorder="1"/>
    <xf numFmtId="43" fontId="0" fillId="7" borderId="23" xfId="4" applyFont="1" applyFill="1" applyBorder="1"/>
    <xf numFmtId="0" fontId="0" fillId="7" borderId="41" xfId="0" applyFill="1" applyBorder="1"/>
    <xf numFmtId="0" fontId="0" fillId="7" borderId="26" xfId="0" applyFill="1" applyBorder="1"/>
    <xf numFmtId="43" fontId="0" fillId="7" borderId="26" xfId="4" applyFont="1" applyFill="1" applyBorder="1"/>
    <xf numFmtId="0" fontId="0" fillId="9" borderId="5" xfId="0" applyFill="1" applyBorder="1"/>
    <xf numFmtId="2" fontId="0" fillId="9" borderId="0" xfId="0" applyNumberFormat="1" applyFill="1" applyBorder="1"/>
    <xf numFmtId="0" fontId="0" fillId="9" borderId="0" xfId="0" applyFill="1" applyBorder="1"/>
    <xf numFmtId="0" fontId="10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3" fontId="1" fillId="7" borderId="16" xfId="4" applyFont="1" applyFill="1" applyBorder="1"/>
    <xf numFmtId="0" fontId="1" fillId="7" borderId="4" xfId="0" applyFont="1" applyFill="1" applyBorder="1"/>
    <xf numFmtId="43" fontId="1" fillId="7" borderId="15" xfId="4" applyFont="1" applyFill="1" applyBorder="1"/>
    <xf numFmtId="43" fontId="1" fillId="7" borderId="5" xfId="4" applyFont="1" applyFill="1" applyBorder="1"/>
    <xf numFmtId="0" fontId="1" fillId="7" borderId="6" xfId="0" applyFont="1" applyFill="1" applyBorder="1"/>
    <xf numFmtId="43" fontId="1" fillId="3" borderId="21" xfId="4" applyFont="1" applyFill="1" applyBorder="1"/>
    <xf numFmtId="43" fontId="1" fillId="3" borderId="2" xfId="4" applyFont="1" applyFill="1" applyBorder="1"/>
    <xf numFmtId="164" fontId="1" fillId="3" borderId="21" xfId="4" applyNumberFormat="1" applyFont="1" applyFill="1" applyBorder="1"/>
    <xf numFmtId="164" fontId="1" fillId="3" borderId="18" xfId="4" applyNumberFormat="1" applyFont="1" applyFill="1" applyBorder="1"/>
    <xf numFmtId="43" fontId="0" fillId="0" borderId="9" xfId="4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2" applyFill="1" applyBorder="1"/>
    <xf numFmtId="0" fontId="0" fillId="0" borderId="0" xfId="0" applyFill="1" applyBorder="1"/>
    <xf numFmtId="43" fontId="0" fillId="0" borderId="0" xfId="4" applyFont="1" applyFill="1" applyBorder="1"/>
    <xf numFmtId="43" fontId="1" fillId="7" borderId="17" xfId="4" applyFont="1" applyFill="1" applyBorder="1"/>
    <xf numFmtId="0" fontId="0" fillId="9" borderId="9" xfId="0" applyFill="1" applyBorder="1"/>
    <xf numFmtId="166" fontId="0" fillId="9" borderId="0" xfId="5" applyNumberFormat="1" applyFont="1" applyFill="1" applyBorder="1"/>
    <xf numFmtId="10" fontId="0" fillId="9" borderId="0" xfId="5" applyNumberFormat="1" applyFont="1" applyFill="1" applyBorder="1"/>
    <xf numFmtId="2" fontId="0" fillId="9" borderId="0" xfId="5" applyNumberFormat="1" applyFont="1" applyFill="1" applyBorder="1"/>
    <xf numFmtId="0" fontId="0" fillId="9" borderId="15" xfId="0" applyFill="1" applyBorder="1"/>
    <xf numFmtId="0" fontId="11" fillId="9" borderId="16" xfId="0" applyFont="1" applyFill="1" applyBorder="1"/>
    <xf numFmtId="0" fontId="0" fillId="9" borderId="6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166" fontId="2" fillId="7" borderId="30" xfId="5" applyNumberFormat="1" applyFont="1" applyFill="1" applyBorder="1"/>
    <xf numFmtId="166" fontId="2" fillId="7" borderId="31" xfId="5" applyNumberFormat="1" applyFont="1" applyFill="1" applyBorder="1"/>
    <xf numFmtId="0" fontId="1" fillId="7" borderId="27" xfId="0" applyFont="1" applyFill="1" applyBorder="1"/>
    <xf numFmtId="167" fontId="0" fillId="9" borderId="0" xfId="0" applyNumberFormat="1" applyFill="1" applyBorder="1"/>
    <xf numFmtId="167" fontId="1" fillId="7" borderId="31" xfId="0" applyNumberFormat="1" applyFont="1" applyFill="1" applyBorder="1"/>
    <xf numFmtId="0" fontId="0" fillId="8" borderId="23" xfId="0" applyFont="1" applyFill="1" applyBorder="1"/>
    <xf numFmtId="0" fontId="0" fillId="8" borderId="38" xfId="0" applyFont="1" applyFill="1" applyBorder="1"/>
    <xf numFmtId="0" fontId="0" fillId="8" borderId="7" xfId="0" applyFont="1" applyFill="1" applyBorder="1"/>
    <xf numFmtId="167" fontId="0" fillId="7" borderId="30" xfId="0" applyNumberFormat="1" applyFont="1" applyFill="1" applyBorder="1"/>
    <xf numFmtId="167" fontId="1" fillId="7" borderId="30" xfId="0" applyNumberFormat="1" applyFont="1" applyFill="1" applyBorder="1"/>
    <xf numFmtId="167" fontId="0" fillId="7" borderId="31" xfId="0" applyNumberFormat="1" applyFill="1" applyBorder="1"/>
    <xf numFmtId="167" fontId="0" fillId="7" borderId="30" xfId="0" applyNumberFormat="1" applyFill="1" applyBorder="1"/>
    <xf numFmtId="0" fontId="1" fillId="8" borderId="42" xfId="0" applyFont="1" applyFill="1" applyBorder="1"/>
    <xf numFmtId="0" fontId="0" fillId="8" borderId="22" xfId="0" applyFont="1" applyFill="1" applyBorder="1"/>
    <xf numFmtId="1" fontId="0" fillId="7" borderId="43" xfId="0" applyNumberFormat="1" applyFill="1" applyBorder="1"/>
    <xf numFmtId="1" fontId="1" fillId="7" borderId="43" xfId="0" applyNumberFormat="1" applyFont="1" applyFill="1" applyBorder="1"/>
    <xf numFmtId="0" fontId="0" fillId="7" borderId="44" xfId="0" applyFill="1" applyBorder="1"/>
    <xf numFmtId="168" fontId="10" fillId="0" borderId="0" xfId="0" applyNumberFormat="1" applyFont="1"/>
    <xf numFmtId="0" fontId="1" fillId="8" borderId="10" xfId="0" applyFont="1" applyFill="1" applyBorder="1"/>
    <xf numFmtId="166" fontId="0" fillId="7" borderId="39" xfId="5" applyNumberFormat="1" applyFont="1" applyFill="1" applyBorder="1"/>
    <xf numFmtId="166" fontId="1" fillId="7" borderId="39" xfId="5" applyNumberFormat="1" applyFont="1" applyFill="1" applyBorder="1"/>
    <xf numFmtId="0" fontId="0" fillId="7" borderId="45" xfId="0" applyFill="1" applyBorder="1"/>
    <xf numFmtId="166" fontId="0" fillId="9" borderId="13" xfId="5" applyNumberFormat="1" applyFont="1" applyFill="1" applyBorder="1"/>
    <xf numFmtId="43" fontId="0" fillId="0" borderId="0" xfId="0" applyNumberFormat="1"/>
    <xf numFmtId="0" fontId="8" fillId="6" borderId="16" xfId="0" applyFont="1" applyFill="1" applyBorder="1"/>
    <xf numFmtId="0" fontId="1" fillId="3" borderId="30" xfId="2" applyFont="1" applyBorder="1"/>
    <xf numFmtId="165" fontId="1" fillId="3" borderId="30" xfId="2" applyNumberFormat="1" applyFont="1" applyBorder="1"/>
    <xf numFmtId="0" fontId="1" fillId="3" borderId="30" xfId="2" applyNumberFormat="1" applyFont="1" applyBorder="1"/>
    <xf numFmtId="166" fontId="1" fillId="3" borderId="30" xfId="2" applyNumberFormat="1" applyFont="1" applyBorder="1"/>
    <xf numFmtId="0" fontId="1" fillId="3" borderId="39" xfId="2" applyFont="1" applyBorder="1"/>
    <xf numFmtId="0" fontId="1" fillId="3" borderId="45" xfId="2" applyFont="1" applyBorder="1"/>
    <xf numFmtId="0" fontId="1" fillId="3" borderId="35" xfId="2" applyFont="1" applyBorder="1"/>
    <xf numFmtId="0" fontId="1" fillId="3" borderId="36" xfId="2" applyFont="1" applyBorder="1"/>
    <xf numFmtId="0" fontId="1" fillId="3" borderId="37" xfId="2" applyFont="1" applyBorder="1"/>
    <xf numFmtId="43" fontId="1" fillId="7" borderId="24" xfId="4" applyFont="1" applyFill="1" applyBorder="1"/>
    <xf numFmtId="169" fontId="0" fillId="0" borderId="0" xfId="0" applyNumberFormat="1"/>
    <xf numFmtId="8" fontId="0" fillId="0" borderId="0" xfId="0" applyNumberFormat="1"/>
    <xf numFmtId="0" fontId="0" fillId="9" borderId="5" xfId="0" applyFill="1" applyBorder="1" applyAlignment="1">
      <alignment wrapText="1"/>
    </xf>
    <xf numFmtId="0" fontId="0" fillId="8" borderId="38" xfId="0" applyFont="1" applyFill="1" applyBorder="1" applyAlignment="1">
      <alignment wrapText="1"/>
    </xf>
    <xf numFmtId="0" fontId="0" fillId="8" borderId="23" xfId="0" applyFont="1" applyFill="1" applyBorder="1" applyAlignment="1">
      <alignment wrapText="1"/>
    </xf>
    <xf numFmtId="0" fontId="0" fillId="8" borderId="22" xfId="0" applyFont="1" applyFill="1" applyBorder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/>
    <xf numFmtId="43" fontId="1" fillId="7" borderId="5" xfId="4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5" fillId="9" borderId="5" xfId="3" applyFont="1" applyFill="1" applyBorder="1" applyAlignment="1">
      <alignment horizontal="left"/>
    </xf>
    <xf numFmtId="0" fontId="15" fillId="9" borderId="0" xfId="3" applyFont="1" applyFill="1" applyBorder="1" applyAlignment="1">
      <alignment horizontal="left"/>
    </xf>
    <xf numFmtId="0" fontId="14" fillId="9" borderId="0" xfId="2" applyFont="1" applyFill="1" applyBorder="1"/>
    <xf numFmtId="0" fontId="14" fillId="9" borderId="6" xfId="2" applyFont="1" applyFill="1" applyBorder="1"/>
    <xf numFmtId="0" fontId="14" fillId="9" borderId="13" xfId="2" applyFont="1" applyFill="1" applyBorder="1"/>
    <xf numFmtId="0" fontId="14" fillId="9" borderId="14" xfId="2" applyFont="1" applyFill="1" applyBorder="1"/>
    <xf numFmtId="0" fontId="14" fillId="9" borderId="0" xfId="0" applyFont="1" applyFill="1" applyBorder="1"/>
    <xf numFmtId="0" fontId="14" fillId="9" borderId="0" xfId="0" applyFont="1" applyFill="1" applyBorder="1" applyAlignment="1">
      <alignment horizontal="left"/>
    </xf>
    <xf numFmtId="0" fontId="14" fillId="9" borderId="6" xfId="0" applyFont="1" applyFill="1" applyBorder="1" applyAlignment="1">
      <alignment horizontal="left"/>
    </xf>
    <xf numFmtId="10" fontId="14" fillId="9" borderId="0" xfId="0" applyNumberFormat="1" applyFont="1" applyFill="1" applyBorder="1"/>
    <xf numFmtId="166" fontId="14" fillId="0" borderId="0" xfId="0" applyNumberFormat="1" applyFont="1" applyBorder="1"/>
    <xf numFmtId="0" fontId="14" fillId="0" borderId="0" xfId="0" applyFont="1" applyBorder="1"/>
    <xf numFmtId="0" fontId="14" fillId="0" borderId="6" xfId="0" applyFont="1" applyBorder="1"/>
    <xf numFmtId="0" fontId="14" fillId="9" borderId="13" xfId="0" applyFont="1" applyFill="1" applyBorder="1"/>
    <xf numFmtId="0" fontId="14" fillId="9" borderId="13" xfId="0" applyFont="1" applyFill="1" applyBorder="1" applyAlignment="1">
      <alignment horizontal="left"/>
    </xf>
    <xf numFmtId="0" fontId="14" fillId="9" borderId="14" xfId="0" applyFont="1" applyFill="1" applyBorder="1" applyAlignment="1">
      <alignment horizontal="left"/>
    </xf>
    <xf numFmtId="0" fontId="14" fillId="0" borderId="5" xfId="0" applyFont="1" applyBorder="1"/>
    <xf numFmtId="166" fontId="0" fillId="0" borderId="0" xfId="5" applyNumberFormat="1" applyFont="1" applyFill="1" applyBorder="1"/>
    <xf numFmtId="0" fontId="0" fillId="0" borderId="0" xfId="0" applyFill="1" applyBorder="1" applyAlignment="1">
      <alignment horizontal="left"/>
    </xf>
    <xf numFmtId="0" fontId="16" fillId="9" borderId="5" xfId="0" applyFont="1" applyFill="1" applyBorder="1" applyAlignment="1">
      <alignment horizontal="left" vertical="top" wrapText="1"/>
    </xf>
    <xf numFmtId="0" fontId="14" fillId="9" borderId="0" xfId="0" applyFont="1" applyFill="1" applyBorder="1" applyAlignment="1">
      <alignment horizontal="center" vertical="top" wrapText="1"/>
    </xf>
    <xf numFmtId="0" fontId="14" fillId="9" borderId="6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left" vertical="top" wrapText="1"/>
    </xf>
    <xf numFmtId="0" fontId="14" fillId="9" borderId="0" xfId="0" applyFont="1" applyFill="1" applyBorder="1" applyAlignment="1">
      <alignment horizontal="right" vertical="top" wrapText="1"/>
    </xf>
    <xf numFmtId="0" fontId="14" fillId="9" borderId="6" xfId="0" applyFont="1" applyFill="1" applyBorder="1" applyAlignment="1">
      <alignment horizontal="left" vertical="top" wrapText="1"/>
    </xf>
    <xf numFmtId="10" fontId="14" fillId="9" borderId="0" xfId="5" applyNumberFormat="1" applyFont="1" applyFill="1" applyBorder="1" applyAlignment="1">
      <alignment horizontal="right" vertical="top" wrapText="1"/>
    </xf>
    <xf numFmtId="0" fontId="14" fillId="9" borderId="5" xfId="0" applyFont="1" applyFill="1" applyBorder="1" applyAlignment="1">
      <alignment horizontal="left" vertical="top"/>
    </xf>
    <xf numFmtId="2" fontId="14" fillId="9" borderId="0" xfId="5" applyNumberFormat="1" applyFont="1" applyFill="1" applyBorder="1" applyAlignment="1">
      <alignment horizontal="right" vertical="top" wrapText="1"/>
    </xf>
    <xf numFmtId="0" fontId="14" fillId="9" borderId="5" xfId="0" applyFont="1" applyFill="1" applyBorder="1" applyAlignment="1">
      <alignment wrapText="1"/>
    </xf>
    <xf numFmtId="2" fontId="14" fillId="9" borderId="0" xfId="0" applyNumberFormat="1" applyFont="1" applyFill="1" applyBorder="1" applyAlignment="1">
      <alignment vertical="center"/>
    </xf>
    <xf numFmtId="1" fontId="14" fillId="9" borderId="6" xfId="0" applyNumberFormat="1" applyFont="1" applyFill="1" applyBorder="1" applyAlignment="1">
      <alignment vertical="center"/>
    </xf>
    <xf numFmtId="0" fontId="14" fillId="9" borderId="5" xfId="0" applyFont="1" applyFill="1" applyBorder="1"/>
    <xf numFmtId="0" fontId="14" fillId="9" borderId="6" xfId="0" applyFont="1" applyFill="1" applyBorder="1"/>
    <xf numFmtId="0" fontId="16" fillId="9" borderId="5" xfId="0" applyFont="1" applyFill="1" applyBorder="1"/>
    <xf numFmtId="0" fontId="14" fillId="9" borderId="15" xfId="0" applyFont="1" applyFill="1" applyBorder="1"/>
    <xf numFmtId="0" fontId="14" fillId="9" borderId="14" xfId="0" applyFont="1" applyFill="1" applyBorder="1"/>
    <xf numFmtId="10" fontId="17" fillId="9" borderId="0" xfId="0" applyNumberFormat="1" applyFont="1" applyFill="1" applyBorder="1"/>
    <xf numFmtId="2" fontId="0" fillId="9" borderId="0" xfId="5" applyNumberFormat="1" applyFont="1" applyFill="1" applyBorder="1" applyAlignment="1">
      <alignment vertical="center"/>
    </xf>
    <xf numFmtId="2" fontId="0" fillId="7" borderId="30" xfId="0" applyNumberFormat="1" applyFill="1" applyBorder="1" applyAlignment="1">
      <alignment vertical="center"/>
    </xf>
    <xf numFmtId="2" fontId="1" fillId="7" borderId="30" xfId="0" applyNumberFormat="1" applyFont="1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1" fillId="8" borderId="23" xfId="0" applyFont="1" applyFill="1" applyBorder="1" applyAlignment="1">
      <alignment wrapText="1"/>
    </xf>
    <xf numFmtId="2" fontId="0" fillId="7" borderId="40" xfId="0" applyNumberFormat="1" applyFill="1" applyBorder="1" applyAlignment="1">
      <alignment vertical="center"/>
    </xf>
    <xf numFmtId="2" fontId="0" fillId="7" borderId="31" xfId="0" applyNumberFormat="1" applyFill="1" applyBorder="1" applyAlignment="1">
      <alignment vertical="center"/>
    </xf>
    <xf numFmtId="0" fontId="1" fillId="7" borderId="31" xfId="0" applyFont="1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2" fontId="0" fillId="7" borderId="30" xfId="0" applyNumberFormat="1" applyFont="1" applyFill="1" applyBorder="1" applyAlignment="1">
      <alignment vertical="center"/>
    </xf>
    <xf numFmtId="2" fontId="0" fillId="7" borderId="31" xfId="0" applyNumberFormat="1" applyFont="1" applyFill="1" applyBorder="1" applyAlignment="1">
      <alignment vertical="center"/>
    </xf>
    <xf numFmtId="2" fontId="1" fillId="7" borderId="31" xfId="0" applyNumberFormat="1" applyFont="1" applyFill="1" applyBorder="1" applyAlignment="1">
      <alignment vertical="center"/>
    </xf>
    <xf numFmtId="43" fontId="1" fillId="7" borderId="26" xfId="4" applyFont="1" applyFill="1" applyBorder="1"/>
    <xf numFmtId="0" fontId="1" fillId="7" borderId="26" xfId="0" applyFont="1" applyFill="1" applyBorder="1"/>
    <xf numFmtId="43" fontId="1" fillId="7" borderId="13" xfId="4" applyFont="1" applyFill="1" applyBorder="1"/>
    <xf numFmtId="0" fontId="1" fillId="7" borderId="13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top" wrapText="1"/>
    </xf>
    <xf numFmtId="0" fontId="11" fillId="9" borderId="9" xfId="0" applyFont="1" applyFill="1" applyBorder="1" applyAlignment="1">
      <alignment horizontal="center" vertical="top" wrapText="1"/>
    </xf>
    <xf numFmtId="0" fontId="11" fillId="9" borderId="4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left"/>
    </xf>
    <xf numFmtId="0" fontId="14" fillId="9" borderId="13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15" fillId="9" borderId="15" xfId="3" applyFont="1" applyFill="1" applyBorder="1" applyAlignment="1">
      <alignment horizontal="left"/>
    </xf>
    <xf numFmtId="0" fontId="15" fillId="9" borderId="13" xfId="3" applyFont="1" applyFill="1" applyBorder="1" applyAlignment="1">
      <alignment horizontal="left"/>
    </xf>
    <xf numFmtId="0" fontId="14" fillId="9" borderId="5" xfId="0" applyFont="1" applyFill="1" applyBorder="1" applyAlignment="1">
      <alignment horizontal="left" wrapText="1"/>
    </xf>
    <xf numFmtId="0" fontId="14" fillId="9" borderId="0" xfId="0" applyFont="1" applyFill="1" applyBorder="1" applyAlignment="1">
      <alignment horizontal="left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5" fillId="9" borderId="5" xfId="3" applyFont="1" applyFill="1" applyBorder="1" applyAlignment="1">
      <alignment horizontal="left"/>
    </xf>
    <xf numFmtId="0" fontId="15" fillId="9" borderId="0" xfId="3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left" wrapText="1"/>
    </xf>
    <xf numFmtId="0" fontId="3" fillId="8" borderId="13" xfId="0" applyFont="1" applyFill="1" applyBorder="1" applyAlignment="1">
      <alignment horizontal="left" wrapText="1"/>
    </xf>
    <xf numFmtId="0" fontId="3" fillId="8" borderId="14" xfId="0" applyFont="1" applyFill="1" applyBorder="1" applyAlignment="1">
      <alignment horizontal="left" wrapText="1"/>
    </xf>
    <xf numFmtId="0" fontId="4" fillId="8" borderId="16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 wrapText="1"/>
    </xf>
    <xf numFmtId="0" fontId="4" fillId="8" borderId="0" xfId="0" applyFont="1" applyFill="1" applyBorder="1" applyAlignment="1">
      <alignment horizontal="left" wrapText="1"/>
    </xf>
    <xf numFmtId="0" fontId="4" fillId="8" borderId="6" xfId="0" applyFont="1" applyFill="1" applyBorder="1" applyAlignment="1">
      <alignment horizontal="left" wrapText="1"/>
    </xf>
    <xf numFmtId="43" fontId="1" fillId="7" borderId="25" xfId="4" applyFont="1" applyFill="1" applyBorder="1" applyAlignment="1">
      <alignment horizontal="left" wrapText="1"/>
    </xf>
    <xf numFmtId="43" fontId="1" fillId="7" borderId="26" xfId="4" applyFont="1" applyFill="1" applyBorder="1" applyAlignment="1">
      <alignment horizontal="left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8" borderId="16" xfId="0" applyFont="1" applyFill="1" applyBorder="1" applyAlignment="1">
      <alignment horizontal="left" wrapText="1"/>
    </xf>
    <xf numFmtId="0" fontId="3" fillId="8" borderId="9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3" fillId="8" borderId="6" xfId="0" applyFont="1" applyFill="1" applyBorder="1" applyAlignment="1">
      <alignment horizontal="left" wrapText="1"/>
    </xf>
    <xf numFmtId="0" fontId="3" fillId="8" borderId="25" xfId="0" applyFont="1" applyFill="1" applyBorder="1" applyAlignment="1">
      <alignment horizontal="left" wrapText="1"/>
    </xf>
    <xf numFmtId="0" fontId="3" fillId="8" borderId="26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2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4" fillId="4" borderId="16" xfId="3" applyBorder="1" applyAlignment="1">
      <alignment horizontal="left"/>
    </xf>
    <xf numFmtId="0" fontId="4" fillId="4" borderId="4" xfId="3" applyBorder="1" applyAlignment="1">
      <alignment horizontal="left"/>
    </xf>
    <xf numFmtId="0" fontId="4" fillId="4" borderId="5" xfId="3" applyBorder="1" applyAlignment="1">
      <alignment horizontal="left"/>
    </xf>
    <xf numFmtId="0" fontId="4" fillId="4" borderId="6" xfId="3" applyBorder="1" applyAlignment="1">
      <alignment horizontal="left"/>
    </xf>
    <xf numFmtId="0" fontId="3" fillId="2" borderId="16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15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/>
    </xf>
    <xf numFmtId="0" fontId="3" fillId="2" borderId="14" xfId="1" applyFont="1" applyBorder="1" applyAlignment="1">
      <alignment horizontal="center" vertical="center"/>
    </xf>
    <xf numFmtId="0" fontId="3" fillId="4" borderId="15" xfId="3" applyFont="1" applyBorder="1" applyAlignment="1">
      <alignment horizontal="left"/>
    </xf>
    <xf numFmtId="0" fontId="3" fillId="4" borderId="14" xfId="3" applyFont="1" applyBorder="1" applyAlignment="1">
      <alignment horizontal="left"/>
    </xf>
    <xf numFmtId="0" fontId="3" fillId="4" borderId="5" xfId="3" applyFont="1" applyBorder="1" applyAlignment="1">
      <alignment horizontal="left"/>
    </xf>
    <xf numFmtId="0" fontId="3" fillId="4" borderId="6" xfId="3" applyFont="1" applyBorder="1" applyAlignment="1">
      <alignment horizontal="left"/>
    </xf>
    <xf numFmtId="0" fontId="4" fillId="4" borderId="23" xfId="3" applyBorder="1" applyAlignment="1">
      <alignment horizontal="left"/>
    </xf>
    <xf numFmtId="0" fontId="4" fillId="4" borderId="41" xfId="3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6" xfId="0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9" borderId="9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/>
  </cellXfs>
  <cellStyles count="7">
    <cellStyle name="20% - uthevingsfarge 1" xfId="2" builtinId="30"/>
    <cellStyle name="60% - uthevingsfarge 1" xfId="3" builtinId="32"/>
    <cellStyle name="Komma" xfId="4" builtinId="3"/>
    <cellStyle name="Normal" xfId="0" builtinId="0"/>
    <cellStyle name="Normal 13" xfId="6"/>
    <cellStyle name="Prosent" xfId="5" builtinId="5"/>
    <cellStyle name="Uthevingsfarge1" xfId="1" builtinId="29"/>
  </cellStyles>
  <dxfs count="4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mruColors>
      <color rgb="FFFF3399"/>
      <color rgb="FF43CEFF"/>
      <color rgb="FF27E8ED"/>
      <color rgb="FF00FFFF"/>
      <color rgb="FF66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b-NO"/>
              <a:t>Sensitivitetsanalyse</a:t>
            </a:r>
          </a:p>
        </c:rich>
      </c:tx>
      <c:layout>
        <c:manualLayout>
          <c:xMode val="edge"/>
          <c:yMode val="edge"/>
          <c:x val="0.3955063453013406"/>
          <c:y val="1.66397319301926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06666962943211"/>
          <c:y val="0.10755910747026219"/>
          <c:w val="0.8603262285016835"/>
          <c:h val="0.67514351417322471"/>
        </c:manualLayout>
      </c:layout>
      <c:scatterChart>
        <c:scatterStyle val="lineMarker"/>
        <c:varyColors val="0"/>
        <c:ser>
          <c:idx val="1"/>
          <c:order val="0"/>
          <c:tx>
            <c:strRef>
              <c:f>Sensitivitetsanalyse!$A$52</c:f>
              <c:strCache>
                <c:ptCount val="1"/>
                <c:pt idx="0">
                  <c:v>Spotpris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Sensitivitetsanalyse!$B$51:$H$51</c:f>
              <c:numCache>
                <c:formatCode>General</c:formatCode>
                <c:ptCount val="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Sensitivitetsanalyse!$B$59:$H$59</c:f>
              <c:numCache>
                <c:formatCode>0</c:formatCode>
                <c:ptCount val="7"/>
                <c:pt idx="0">
                  <c:v>-16.661511644948245</c:v>
                </c:pt>
                <c:pt idx="1">
                  <c:v>0.43848835505179429</c:v>
                </c:pt>
                <c:pt idx="2">
                  <c:v>17.538488355051783</c:v>
                </c:pt>
                <c:pt idx="3">
                  <c:v>34.638488355051798</c:v>
                </c:pt>
                <c:pt idx="4">
                  <c:v>51.738488355051814</c:v>
                </c:pt>
                <c:pt idx="5">
                  <c:v>68.838488355051737</c:v>
                </c:pt>
                <c:pt idx="6">
                  <c:v>85.938488355051788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Sensitivitetsanalyse!$A$62</c:f>
              <c:strCache>
                <c:ptCount val="1"/>
                <c:pt idx="0">
                  <c:v>Kraftpris inkl. elsertifikater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Sensitivitetsanalyse!$B$51:$H$51</c:f>
              <c:numCache>
                <c:formatCode>General</c:formatCode>
                <c:ptCount val="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Sensitivitetsanalyse!$B$69:$H$69</c:f>
              <c:numCache>
                <c:formatCode>0</c:formatCode>
                <c:ptCount val="7"/>
                <c:pt idx="0">
                  <c:v>-40.961511644948246</c:v>
                </c:pt>
                <c:pt idx="1">
                  <c:v>-15.761511644948195</c:v>
                </c:pt>
                <c:pt idx="2">
                  <c:v>9.4384883550517777</c:v>
                </c:pt>
                <c:pt idx="3">
                  <c:v>34.638488355051798</c:v>
                </c:pt>
                <c:pt idx="4">
                  <c:v>59.838488355051823</c:v>
                </c:pt>
                <c:pt idx="5">
                  <c:v>85.03848835505174</c:v>
                </c:pt>
                <c:pt idx="6">
                  <c:v>110.23848835505177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Sensitivitetsanalyse!$A$72</c:f>
              <c:strCache>
                <c:ptCount val="1"/>
                <c:pt idx="0">
                  <c:v>Brukstid</c:v>
                </c:pt>
              </c:strCache>
            </c:strRef>
          </c:tx>
          <c:marker>
            <c:symbol val="none"/>
          </c:marker>
          <c:dLbls>
            <c:delete val="1"/>
          </c:dLbls>
          <c:xVal>
            <c:numRef>
              <c:f>Sensitivitetsanalyse!$B$51:$H$51</c:f>
              <c:numCache>
                <c:formatCode>General</c:formatCode>
                <c:ptCount val="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Sensitivitetsanalyse!$B$81:$H$81</c:f>
              <c:numCache>
                <c:formatCode>0</c:formatCode>
                <c:ptCount val="7"/>
                <c:pt idx="0">
                  <c:v>-24.761511644948222</c:v>
                </c:pt>
                <c:pt idx="1">
                  <c:v>-4.9615116449482155</c:v>
                </c:pt>
                <c:pt idx="2">
                  <c:v>14.838488355051823</c:v>
                </c:pt>
                <c:pt idx="3">
                  <c:v>34.638488355051798</c:v>
                </c:pt>
                <c:pt idx="4">
                  <c:v>54.438488355051803</c:v>
                </c:pt>
                <c:pt idx="5">
                  <c:v>74.238488355051786</c:v>
                </c:pt>
                <c:pt idx="6">
                  <c:v>94.038488355051811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Sensitivitetsanalyse!$A$84</c:f>
              <c:strCache>
                <c:ptCount val="1"/>
                <c:pt idx="0">
                  <c:v>Drifts- og vedlikeholdskostnad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Sensitivitetsanalyse!$B$51:$H$51</c:f>
              <c:numCache>
                <c:formatCode>General</c:formatCode>
                <c:ptCount val="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Sensitivitetsanalyse!$B$91:$H$91</c:f>
              <c:numCache>
                <c:formatCode>0</c:formatCode>
                <c:ptCount val="7"/>
                <c:pt idx="0">
                  <c:v>50.838488355051815</c:v>
                </c:pt>
                <c:pt idx="1">
                  <c:v>45.43848835505181</c:v>
                </c:pt>
                <c:pt idx="2">
                  <c:v>40.038488355051804</c:v>
                </c:pt>
                <c:pt idx="3">
                  <c:v>34.638488355051798</c:v>
                </c:pt>
                <c:pt idx="4">
                  <c:v>29.238488355051796</c:v>
                </c:pt>
                <c:pt idx="5">
                  <c:v>23.838488355051791</c:v>
                </c:pt>
                <c:pt idx="6">
                  <c:v>18.438488355051785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Sensitivitetsanalyse!$A$94</c:f>
              <c:strCache>
                <c:ptCount val="1"/>
                <c:pt idx="0">
                  <c:v>Investeringskostnad</c:v>
                </c:pt>
              </c:strCache>
            </c:strRef>
          </c:tx>
          <c:spPr>
            <a:ln>
              <a:solidFill>
                <a:srgbClr val="43CEFF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Sensitivitetsanalyse!$B$51:$H$51</c:f>
              <c:numCache>
                <c:formatCode>General</c:formatCode>
                <c:ptCount val="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Sensitivitetsanalyse!$B$102:$H$102</c:f>
              <c:numCache>
                <c:formatCode>0</c:formatCode>
                <c:ptCount val="7"/>
                <c:pt idx="0">
                  <c:v>83.646941848536258</c:v>
                </c:pt>
                <c:pt idx="1">
                  <c:v>67.310790684041379</c:v>
                </c:pt>
                <c:pt idx="2">
                  <c:v>50.974639519546599</c:v>
                </c:pt>
                <c:pt idx="3">
                  <c:v>34.638488355051798</c:v>
                </c:pt>
                <c:pt idx="4">
                  <c:v>18.302337190556923</c:v>
                </c:pt>
                <c:pt idx="5">
                  <c:v>1.9661860260621444</c:v>
                </c:pt>
                <c:pt idx="6">
                  <c:v>-14.369965138432683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Sensitivitetsanalyse!$A$105</c:f>
              <c:strCache>
                <c:ptCount val="1"/>
                <c:pt idx="0">
                  <c:v>Kalkulasjonsrente</c:v>
                </c:pt>
              </c:strCache>
            </c:strRef>
          </c:tx>
          <c:marker>
            <c:symbol val="none"/>
          </c:marker>
          <c:dLbls>
            <c:delete val="1"/>
          </c:dLbls>
          <c:xVal>
            <c:numRef>
              <c:f>Sensitivitetsanalyse!$B$51:$H$51</c:f>
              <c:numCache>
                <c:formatCode>General</c:formatCode>
                <c:ptCount val="7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Sensitivitetsanalyse!$B$114:$H$114</c:f>
              <c:numCache>
                <c:formatCode>0</c:formatCode>
                <c:ptCount val="7"/>
                <c:pt idx="0">
                  <c:v>59.022765546470815</c:v>
                </c:pt>
                <c:pt idx="1">
                  <c:v>51.103892465308434</c:v>
                </c:pt>
                <c:pt idx="2">
                  <c:v>42.97336470960974</c:v>
                </c:pt>
                <c:pt idx="3">
                  <c:v>34.638488355051798</c:v>
                </c:pt>
                <c:pt idx="4">
                  <c:v>26.106825403998112</c:v>
                </c:pt>
                <c:pt idx="5">
                  <c:v>17.386128610390127</c:v>
                </c:pt>
                <c:pt idx="6">
                  <c:v>8.4842793675964305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Sensitivitetsanalyse!$A$117</c:f>
              <c:strCache>
                <c:ptCount val="1"/>
                <c:pt idx="0">
                  <c:v>Nettleie(energiledd)</c:v>
                </c:pt>
              </c:strCache>
            </c:strRef>
          </c:tx>
          <c:spPr>
            <a:ln>
              <a:solidFill>
                <a:srgbClr val="66FF33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Sensitivitetsanalyse!$B$51:$I$51</c:f>
              <c:numCache>
                <c:formatCode>General</c:formatCode>
                <c:ptCount val="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Sensitivitetsanalyse!$B$127:$H$127</c:f>
              <c:numCache>
                <c:formatCode>0</c:formatCode>
                <c:ptCount val="7"/>
                <c:pt idx="0">
                  <c:v>36.438488355051803</c:v>
                </c:pt>
                <c:pt idx="1">
                  <c:v>35.9884883550518</c:v>
                </c:pt>
                <c:pt idx="2">
                  <c:v>35.088488355051801</c:v>
                </c:pt>
                <c:pt idx="3">
                  <c:v>34.638488355051798</c:v>
                </c:pt>
                <c:pt idx="4">
                  <c:v>33.288488355051797</c:v>
                </c:pt>
                <c:pt idx="5">
                  <c:v>32.388488355051798</c:v>
                </c:pt>
                <c:pt idx="6">
                  <c:v>31.488488355051796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Sensitivitetsanalyse!$A$130</c:f>
              <c:strCache>
                <c:ptCount val="1"/>
                <c:pt idx="0">
                  <c:v>Balanseringskostnad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Sensitivitetsanalyse!$B$51:$I$51</c:f>
              <c:numCache>
                <c:formatCode>General</c:formatCode>
                <c:ptCount val="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xVal>
          <c:yVal>
            <c:numRef>
              <c:f>Sensitivitetsanalyse!$B$138:$H$138</c:f>
              <c:numCache>
                <c:formatCode>0</c:formatCode>
                <c:ptCount val="7"/>
                <c:pt idx="0">
                  <c:v>35.9884883550518</c:v>
                </c:pt>
                <c:pt idx="1">
                  <c:v>35.538488355051797</c:v>
                </c:pt>
                <c:pt idx="2">
                  <c:v>34.638488355051798</c:v>
                </c:pt>
                <c:pt idx="3">
                  <c:v>34.638488355051798</c:v>
                </c:pt>
                <c:pt idx="4">
                  <c:v>33.7384883550518</c:v>
                </c:pt>
                <c:pt idx="5">
                  <c:v>33.288488355051797</c:v>
                </c:pt>
                <c:pt idx="6">
                  <c:v>32.388488355051798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115905664"/>
        <c:axId val="115907584"/>
      </c:scatterChart>
      <c:valAx>
        <c:axId val="115905664"/>
        <c:scaling>
          <c:orientation val="minMax"/>
          <c:max val="30"/>
          <c:min val="-3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Prosentvis endring</a:t>
                </a:r>
                <a:r>
                  <a:rPr lang="nb-NO" baseline="0"/>
                  <a:t> fra basiss</a:t>
                </a:r>
                <a:r>
                  <a:rPr lang="nb-NO"/>
                  <a:t>cenario [%]</a:t>
                </a:r>
              </a:p>
            </c:rich>
          </c:tx>
          <c:layout>
            <c:manualLayout>
              <c:xMode val="edge"/>
              <c:yMode val="edge"/>
              <c:x val="0.31591332145028833"/>
              <c:y val="0.783151158294105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5907584"/>
        <c:crosses val="autoZero"/>
        <c:crossBetween val="midCat"/>
      </c:valAx>
      <c:valAx>
        <c:axId val="115907584"/>
        <c:scaling>
          <c:orientation val="minMax"/>
          <c:max val="250"/>
          <c:min val="-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Resultat</a:t>
                </a:r>
                <a:r>
                  <a:rPr lang="nb-NO" baseline="0"/>
                  <a:t> [MNOK/år] **</a:t>
                </a:r>
              </a:p>
            </c:rich>
          </c:tx>
          <c:layout>
            <c:manualLayout>
              <c:xMode val="edge"/>
              <c:yMode val="edge"/>
              <c:x val="7.6271191530174268E-3"/>
              <c:y val="0.2493949518546423"/>
            </c:manualLayout>
          </c:layout>
          <c:overlay val="0"/>
        </c:title>
        <c:numFmt formatCode="0" sourceLinked="1"/>
        <c:majorTickMark val="none"/>
        <c:minorTickMark val="none"/>
        <c:tickLblPos val="low"/>
        <c:spPr>
          <a:ln>
            <a:noFill/>
          </a:ln>
        </c:spPr>
        <c:crossAx val="115905664"/>
        <c:crosses val="autoZero"/>
        <c:crossBetween val="midCat"/>
        <c:majorUnit val="50"/>
      </c:valAx>
    </c:plotArea>
    <c:legend>
      <c:legendPos val="t"/>
      <c:layout>
        <c:manualLayout>
          <c:xMode val="edge"/>
          <c:yMode val="edge"/>
          <c:x val="1.2227355109096829E-2"/>
          <c:y val="0.86788426583952227"/>
          <c:w val="0.97012169180501973"/>
          <c:h val="0.11147994859017649"/>
        </c:manualLayout>
      </c:layout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24</xdr:row>
      <xdr:rowOff>19577</xdr:rowOff>
    </xdr:from>
    <xdr:to>
      <xdr:col>11</xdr:col>
      <xdr:colOff>751418</xdr:colOff>
      <xdr:row>47</xdr:row>
      <xdr:rowOff>127000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8"/>
  <sheetViews>
    <sheetView tabSelected="1" zoomScale="90" zoomScaleNormal="90" workbookViewId="0">
      <selection sqref="A1:G1"/>
    </sheetView>
  </sheetViews>
  <sheetFormatPr baseColWidth="10" defaultRowHeight="15" x14ac:dyDescent="0.25"/>
  <cols>
    <col min="3" max="3" width="17.5703125" bestFit="1" customWidth="1"/>
    <col min="4" max="4" width="9.5703125" customWidth="1"/>
    <col min="5" max="5" width="10.7109375" customWidth="1"/>
  </cols>
  <sheetData>
    <row r="1" spans="1:7" ht="26.25" x14ac:dyDescent="0.4">
      <c r="A1" s="200" t="s">
        <v>34</v>
      </c>
      <c r="B1" s="200"/>
      <c r="C1" s="200"/>
      <c r="D1" s="200"/>
      <c r="E1" s="200"/>
      <c r="F1" s="200"/>
      <c r="G1" s="200"/>
    </row>
    <row r="2" spans="1:7" x14ac:dyDescent="0.25">
      <c r="A2" s="291" t="s">
        <v>127</v>
      </c>
      <c r="B2" s="291"/>
      <c r="C2" s="291"/>
      <c r="D2" s="291"/>
      <c r="E2" s="291"/>
      <c r="F2" s="291"/>
      <c r="G2" s="291"/>
    </row>
    <row r="3" spans="1:7" ht="18.75" x14ac:dyDescent="0.3">
      <c r="A3" s="201" t="s">
        <v>126</v>
      </c>
      <c r="B3" s="201"/>
      <c r="C3" s="201"/>
      <c r="D3" s="201"/>
      <c r="E3" s="201"/>
      <c r="F3" s="201"/>
      <c r="G3" s="201"/>
    </row>
    <row r="5" spans="1:7" ht="15.75" thickBot="1" x14ac:dyDescent="0.3"/>
    <row r="6" spans="1:7" ht="23.25" x14ac:dyDescent="0.35">
      <c r="B6" s="8"/>
      <c r="C6" s="202" t="s">
        <v>4</v>
      </c>
      <c r="D6" s="202"/>
      <c r="E6" s="202"/>
      <c r="F6" s="9"/>
    </row>
    <row r="7" spans="1:7" ht="15.75" thickBot="1" x14ac:dyDescent="0.3">
      <c r="B7" s="10"/>
      <c r="C7" s="11"/>
      <c r="D7" s="11"/>
      <c r="E7" s="11"/>
      <c r="F7" s="11"/>
    </row>
    <row r="8" spans="1:7" ht="30" customHeight="1" thickBot="1" x14ac:dyDescent="0.4">
      <c r="B8" s="10"/>
      <c r="C8" s="124"/>
      <c r="D8" s="203" t="s">
        <v>36</v>
      </c>
      <c r="E8" s="204"/>
      <c r="F8" s="11"/>
    </row>
    <row r="9" spans="1:7" x14ac:dyDescent="0.25">
      <c r="B9" s="10"/>
      <c r="C9" s="13" t="s">
        <v>1</v>
      </c>
      <c r="D9" s="129">
        <v>150</v>
      </c>
      <c r="E9" s="130" t="s">
        <v>0</v>
      </c>
      <c r="F9" s="11"/>
    </row>
    <row r="10" spans="1:7" x14ac:dyDescent="0.25">
      <c r="B10" s="10"/>
      <c r="C10" s="19" t="s">
        <v>31</v>
      </c>
      <c r="D10" s="125">
        <f>D9/D11</f>
        <v>50</v>
      </c>
      <c r="E10" s="131" t="s">
        <v>32</v>
      </c>
      <c r="F10" s="11"/>
    </row>
    <row r="11" spans="1:7" x14ac:dyDescent="0.25">
      <c r="B11" s="10"/>
      <c r="C11" s="19" t="s">
        <v>16</v>
      </c>
      <c r="D11" s="126">
        <v>3</v>
      </c>
      <c r="E11" s="131" t="s">
        <v>0</v>
      </c>
      <c r="F11" s="11"/>
    </row>
    <row r="12" spans="1:7" x14ac:dyDescent="0.25">
      <c r="B12" s="10"/>
      <c r="C12" s="19" t="s">
        <v>72</v>
      </c>
      <c r="D12" s="125">
        <v>0</v>
      </c>
      <c r="E12" s="131" t="s">
        <v>39</v>
      </c>
      <c r="F12" s="11"/>
    </row>
    <row r="13" spans="1:7" x14ac:dyDescent="0.25">
      <c r="B13" s="10"/>
      <c r="C13" s="19" t="s">
        <v>58</v>
      </c>
      <c r="D13" s="127">
        <v>3000</v>
      </c>
      <c r="E13" s="131" t="s">
        <v>41</v>
      </c>
      <c r="F13" s="11"/>
    </row>
    <row r="14" spans="1:7" x14ac:dyDescent="0.25">
      <c r="B14" s="10"/>
      <c r="C14" s="19" t="s">
        <v>64</v>
      </c>
      <c r="D14" s="128">
        <v>6.5000000000000002E-2</v>
      </c>
      <c r="E14" s="131"/>
      <c r="F14" s="11"/>
    </row>
    <row r="15" spans="1:7" x14ac:dyDescent="0.25">
      <c r="B15" s="10"/>
      <c r="C15" s="19" t="s">
        <v>43</v>
      </c>
      <c r="D15" s="127">
        <v>20</v>
      </c>
      <c r="E15" s="131" t="s">
        <v>44</v>
      </c>
      <c r="F15" s="11"/>
    </row>
    <row r="16" spans="1:7" x14ac:dyDescent="0.25">
      <c r="B16" s="10"/>
      <c r="C16" s="19" t="s">
        <v>46</v>
      </c>
      <c r="D16" s="125">
        <v>0.38</v>
      </c>
      <c r="E16" s="131" t="s">
        <v>14</v>
      </c>
      <c r="F16" s="11"/>
    </row>
    <row r="17" spans="2:6" ht="15.75" thickBot="1" x14ac:dyDescent="0.3">
      <c r="B17" s="10"/>
      <c r="C17" s="21" t="s">
        <v>15</v>
      </c>
      <c r="D17" s="132">
        <v>0.18</v>
      </c>
      <c r="E17" s="133" t="s">
        <v>14</v>
      </c>
      <c r="F17" s="11"/>
    </row>
    <row r="18" spans="2:6" ht="15.75" thickBot="1" x14ac:dyDescent="0.3">
      <c r="B18" s="23"/>
      <c r="C18" s="24"/>
      <c r="D18" s="24"/>
      <c r="E18" s="24"/>
      <c r="F18" s="24"/>
    </row>
  </sheetData>
  <mergeCells count="5">
    <mergeCell ref="A1:G1"/>
    <mergeCell ref="A3:G3"/>
    <mergeCell ref="C6:E6"/>
    <mergeCell ref="D8:E8"/>
    <mergeCell ref="A2:G2"/>
  </mergeCells>
  <pageMargins left="0.7" right="0.7" top="0.75" bottom="0.75" header="0.3" footer="0.3"/>
  <pageSetup paperSize="9" orientation="portrait" r:id="rId1"/>
  <headerFooter>
    <oddHeader>&amp;CModell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7"/>
  <sheetViews>
    <sheetView zoomScale="90" zoomScaleNormal="90" workbookViewId="0">
      <selection activeCell="F7" sqref="F7"/>
    </sheetView>
  </sheetViews>
  <sheetFormatPr baseColWidth="10" defaultRowHeight="15" x14ac:dyDescent="0.25"/>
  <cols>
    <col min="1" max="1" width="11.140625" customWidth="1"/>
    <col min="2" max="2" width="25.85546875" customWidth="1"/>
    <col min="4" max="4" width="17.140625" bestFit="1" customWidth="1"/>
    <col min="5" max="5" width="11.42578125" customWidth="1"/>
    <col min="7" max="7" width="11.42578125" customWidth="1"/>
  </cols>
  <sheetData>
    <row r="1" spans="1:11" ht="28.5" x14ac:dyDescent="0.45">
      <c r="A1" s="200" t="s">
        <v>34</v>
      </c>
      <c r="B1" s="200"/>
      <c r="C1" s="200"/>
      <c r="D1" s="200"/>
      <c r="E1" s="200"/>
      <c r="F1" s="141"/>
      <c r="G1" s="141"/>
      <c r="H1" s="141"/>
      <c r="I1" s="141"/>
      <c r="J1" s="141"/>
      <c r="K1" s="141"/>
    </row>
    <row r="2" spans="1:11" x14ac:dyDescent="0.25">
      <c r="A2" s="291" t="s">
        <v>127</v>
      </c>
      <c r="B2" s="291"/>
      <c r="C2" s="291"/>
      <c r="D2" s="291"/>
      <c r="E2" s="291"/>
      <c r="F2" s="292"/>
      <c r="G2" s="292"/>
    </row>
    <row r="3" spans="1:11" ht="18.75" x14ac:dyDescent="0.3">
      <c r="A3" s="201" t="s">
        <v>101</v>
      </c>
      <c r="B3" s="201"/>
      <c r="C3" s="201"/>
      <c r="D3" s="201"/>
      <c r="E3" s="201"/>
      <c r="F3" s="142"/>
      <c r="G3" s="142"/>
      <c r="H3" s="142"/>
      <c r="I3" s="142"/>
      <c r="J3" s="142"/>
      <c r="K3" s="142"/>
    </row>
    <row r="4" spans="1:11" ht="15.75" thickBot="1" x14ac:dyDescent="0.3">
      <c r="A4" s="87"/>
      <c r="B4" s="87"/>
      <c r="C4" s="87"/>
      <c r="D4" s="87"/>
      <c r="E4" s="87"/>
      <c r="F4" s="198"/>
    </row>
    <row r="5" spans="1:11" ht="24" thickBot="1" x14ac:dyDescent="0.4">
      <c r="A5" s="87"/>
      <c r="B5" s="12"/>
      <c r="C5" s="208" t="s">
        <v>37</v>
      </c>
      <c r="D5" s="209"/>
      <c r="E5" s="87"/>
      <c r="F5" s="198"/>
    </row>
    <row r="6" spans="1:11" x14ac:dyDescent="0.25">
      <c r="A6" s="87"/>
      <c r="B6" s="13" t="s">
        <v>38</v>
      </c>
      <c r="C6" s="14">
        <f>'Beregningsmetode 1'!C19*Inputverdier!D9</f>
        <v>1800</v>
      </c>
      <c r="D6" s="15" t="s">
        <v>39</v>
      </c>
      <c r="E6" s="87"/>
      <c r="F6" s="198"/>
    </row>
    <row r="7" spans="1:11" x14ac:dyDescent="0.25">
      <c r="A7" s="87"/>
      <c r="B7" s="16" t="s">
        <v>30</v>
      </c>
      <c r="C7" s="17">
        <f>Inputverdier!D13*Inputverdier!D9/1000</f>
        <v>450</v>
      </c>
      <c r="D7" s="18" t="s">
        <v>2</v>
      </c>
      <c r="E7" s="87"/>
      <c r="F7" s="198"/>
    </row>
    <row r="8" spans="1:11" x14ac:dyDescent="0.25">
      <c r="A8" s="87"/>
      <c r="B8" s="19" t="s">
        <v>112</v>
      </c>
      <c r="C8" s="79">
        <f>'Beregningsmetode 1'!C22/1000</f>
        <v>0.36302558143321828</v>
      </c>
      <c r="D8" s="18" t="s">
        <v>53</v>
      </c>
      <c r="E8" s="87"/>
      <c r="F8" s="198"/>
    </row>
    <row r="9" spans="1:11" x14ac:dyDescent="0.25">
      <c r="A9" s="87"/>
      <c r="B9" s="19" t="s">
        <v>40</v>
      </c>
      <c r="C9" s="79">
        <f>'Beregningsmetode 1'!C25/100</f>
        <v>0.12</v>
      </c>
      <c r="D9" s="18" t="s">
        <v>53</v>
      </c>
      <c r="E9" s="87"/>
      <c r="F9" s="198"/>
    </row>
    <row r="10" spans="1:11" x14ac:dyDescent="0.25">
      <c r="A10" s="87"/>
      <c r="B10" s="19" t="s">
        <v>42</v>
      </c>
      <c r="C10" s="79">
        <f>C8+C9</f>
        <v>0.48302558143321828</v>
      </c>
      <c r="D10" s="18" t="s">
        <v>53</v>
      </c>
      <c r="E10" s="87"/>
      <c r="F10" s="198"/>
    </row>
    <row r="11" spans="1:11" x14ac:dyDescent="0.25">
      <c r="A11" s="87"/>
      <c r="B11" s="19" t="s">
        <v>45</v>
      </c>
      <c r="C11" s="79">
        <f>Inputverdier!D16+Inputverdier!D17</f>
        <v>0.56000000000000005</v>
      </c>
      <c r="D11" s="18" t="s">
        <v>53</v>
      </c>
      <c r="E11" s="87"/>
      <c r="F11" s="198"/>
    </row>
    <row r="12" spans="1:11" x14ac:dyDescent="0.25">
      <c r="A12" s="87"/>
      <c r="B12" s="20" t="s">
        <v>113</v>
      </c>
      <c r="C12" s="80">
        <f>C11-C10</f>
        <v>7.6974418566781777E-2</v>
      </c>
      <c r="D12" s="1" t="s">
        <v>53</v>
      </c>
      <c r="E12" s="87"/>
      <c r="F12" s="198"/>
    </row>
    <row r="13" spans="1:11" x14ac:dyDescent="0.25">
      <c r="A13" s="87"/>
      <c r="B13" s="19" t="s">
        <v>114</v>
      </c>
      <c r="C13" s="81">
        <f>((C12/1000)*(C7*10^9))/1000000</f>
        <v>34.638488355051798</v>
      </c>
      <c r="D13" s="18" t="s">
        <v>54</v>
      </c>
      <c r="E13" s="87"/>
      <c r="F13" s="198"/>
    </row>
    <row r="14" spans="1:11" ht="15.75" thickBot="1" x14ac:dyDescent="0.3">
      <c r="A14" s="87"/>
      <c r="B14" s="22" t="s">
        <v>115</v>
      </c>
      <c r="C14" s="82">
        <f>C13*Inputverdier!D15</f>
        <v>692.769767101036</v>
      </c>
      <c r="D14" s="7" t="s">
        <v>55</v>
      </c>
      <c r="E14" s="87"/>
      <c r="F14" s="198"/>
    </row>
    <row r="15" spans="1:11" x14ac:dyDescent="0.25">
      <c r="A15" s="199"/>
      <c r="B15" s="199"/>
      <c r="C15" s="87"/>
      <c r="D15" s="87"/>
      <c r="E15" s="87"/>
      <c r="F15" s="198"/>
    </row>
    <row r="16" spans="1:11" ht="15.75" thickBot="1" x14ac:dyDescent="0.3"/>
    <row r="17" spans="2:7" x14ac:dyDescent="0.25">
      <c r="B17" s="205" t="s">
        <v>47</v>
      </c>
      <c r="C17" s="206"/>
      <c r="D17" s="207"/>
      <c r="E17" s="25"/>
      <c r="F17" s="25"/>
      <c r="G17" s="25"/>
    </row>
    <row r="18" spans="2:7" x14ac:dyDescent="0.25">
      <c r="B18" s="164" t="s">
        <v>52</v>
      </c>
      <c r="C18" s="165"/>
      <c r="D18" s="166"/>
      <c r="E18" s="25"/>
      <c r="G18" s="25"/>
    </row>
    <row r="19" spans="2:7" x14ac:dyDescent="0.25">
      <c r="B19" s="167" t="s">
        <v>108</v>
      </c>
      <c r="C19" s="168">
        <v>12</v>
      </c>
      <c r="D19" s="169" t="s">
        <v>48</v>
      </c>
      <c r="E19" s="32"/>
    </row>
    <row r="20" spans="2:7" x14ac:dyDescent="0.25">
      <c r="B20" s="167" t="s">
        <v>49</v>
      </c>
      <c r="C20" s="170">
        <f>Inputverdier!D14/(1-(1/((1+Inputverdier!D14)^Inputverdier!D15)))</f>
        <v>9.0756395358304584E-2</v>
      </c>
      <c r="D20" s="166"/>
      <c r="F20" s="25"/>
    </row>
    <row r="21" spans="2:7" x14ac:dyDescent="0.25">
      <c r="B21" s="171" t="s">
        <v>109</v>
      </c>
      <c r="C21" s="172">
        <f>'Beregningsmetode 1'!C6*C20</f>
        <v>163.36151164494825</v>
      </c>
      <c r="D21" s="169" t="s">
        <v>39</v>
      </c>
    </row>
    <row r="22" spans="2:7" ht="26.25" x14ac:dyDescent="0.25">
      <c r="B22" s="173" t="s">
        <v>110</v>
      </c>
      <c r="C22" s="174">
        <f>(C21*1000000)/('Beregningsmetode 1'!C7*1000)</f>
        <v>363.02558143321829</v>
      </c>
      <c r="D22" s="175" t="s">
        <v>50</v>
      </c>
    </row>
    <row r="23" spans="2:7" x14ac:dyDescent="0.25">
      <c r="B23" s="176"/>
      <c r="C23" s="151"/>
      <c r="D23" s="177"/>
    </row>
    <row r="24" spans="2:7" x14ac:dyDescent="0.25">
      <c r="B24" s="178" t="s">
        <v>51</v>
      </c>
      <c r="C24" s="151"/>
      <c r="D24" s="177"/>
    </row>
    <row r="25" spans="2:7" ht="15.75" thickBot="1" x14ac:dyDescent="0.3">
      <c r="B25" s="179" t="s">
        <v>40</v>
      </c>
      <c r="C25" s="158">
        <v>12</v>
      </c>
      <c r="D25" s="180" t="s">
        <v>18</v>
      </c>
      <c r="E25" s="32"/>
    </row>
    <row r="26" spans="2:7" x14ac:dyDescent="0.25">
      <c r="B26" t="s">
        <v>123</v>
      </c>
    </row>
    <row r="27" spans="2:7" x14ac:dyDescent="0.25">
      <c r="B27" t="s">
        <v>116</v>
      </c>
    </row>
  </sheetData>
  <mergeCells count="5">
    <mergeCell ref="B17:D17"/>
    <mergeCell ref="C5:D5"/>
    <mergeCell ref="A1:E1"/>
    <mergeCell ref="A3:E3"/>
    <mergeCell ref="A2:E2"/>
  </mergeCells>
  <conditionalFormatting sqref="C14">
    <cfRule type="cellIs" dxfId="47" priority="1" operator="equal">
      <formula>0</formula>
    </cfRule>
  </conditionalFormatting>
  <conditionalFormatting sqref="C12">
    <cfRule type="cellIs" dxfId="46" priority="7" operator="lessThan">
      <formula>0</formula>
    </cfRule>
    <cfRule type="cellIs" dxfId="45" priority="8" operator="greaterThan">
      <formula>0</formula>
    </cfRule>
  </conditionalFormatting>
  <conditionalFormatting sqref="C13">
    <cfRule type="cellIs" dxfId="44" priority="5" operator="lessThan">
      <formula>0</formula>
    </cfRule>
    <cfRule type="cellIs" dxfId="43" priority="6" operator="greaterThan">
      <formula>0</formula>
    </cfRule>
  </conditionalFormatting>
  <conditionalFormatting sqref="C12:C13">
    <cfRule type="cellIs" dxfId="42" priority="4" operator="equal">
      <formula>0</formula>
    </cfRule>
  </conditionalFormatting>
  <conditionalFormatting sqref="C14">
    <cfRule type="cellIs" dxfId="41" priority="2" operator="lessThan">
      <formula>0</formula>
    </cfRule>
    <cfRule type="cellIs" dxfId="40" priority="3" operator="greaterThan">
      <formula>0</formula>
    </cfRule>
  </conditionalFormatting>
  <pageMargins left="0.7" right="0.7" top="0.75" bottom="0.75" header="0.3" footer="0.3"/>
  <pageSetup paperSize="9" orientation="portrait" r:id="rId1"/>
  <headerFooter>
    <oddHeader>&amp;CModell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74"/>
  <sheetViews>
    <sheetView zoomScale="90" zoomScaleNormal="90" workbookViewId="0">
      <selection activeCell="A2" sqref="A2:XFD2"/>
    </sheetView>
  </sheetViews>
  <sheetFormatPr baseColWidth="10" defaultRowHeight="15" x14ac:dyDescent="0.25"/>
  <cols>
    <col min="1" max="1" width="17.140625" customWidth="1"/>
    <col min="3" max="3" width="14.7109375" customWidth="1"/>
    <col min="4" max="4" width="12.28515625" customWidth="1"/>
    <col min="5" max="5" width="10.85546875" customWidth="1"/>
    <col min="6" max="6" width="12.7109375" customWidth="1"/>
    <col min="7" max="7" width="11.42578125" customWidth="1"/>
    <col min="8" max="8" width="11.85546875" bestFit="1" customWidth="1"/>
    <col min="9" max="9" width="10.5703125" customWidth="1"/>
    <col min="10" max="10" width="11.85546875" bestFit="1" customWidth="1"/>
    <col min="11" max="11" width="10.140625" customWidth="1"/>
    <col min="12" max="12" width="14.7109375" bestFit="1" customWidth="1"/>
    <col min="13" max="13" width="14.85546875" bestFit="1" customWidth="1"/>
    <col min="14" max="14" width="11" customWidth="1"/>
    <col min="15" max="15" width="11.85546875" bestFit="1" customWidth="1"/>
    <col min="16" max="16" width="14.7109375" bestFit="1" customWidth="1"/>
    <col min="18" max="18" width="8.85546875" bestFit="1" customWidth="1"/>
    <col min="20" max="20" width="8.85546875" bestFit="1" customWidth="1"/>
  </cols>
  <sheetData>
    <row r="1" spans="1:11" ht="28.5" x14ac:dyDescent="0.45">
      <c r="A1" s="249" t="s">
        <v>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x14ac:dyDescent="0.25">
      <c r="A2" s="291" t="s">
        <v>127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5" customHeight="1" x14ac:dyDescent="0.3">
      <c r="A3" s="201" t="s">
        <v>102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5.75" thickBo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x14ac:dyDescent="0.25">
      <c r="D5" s="273" t="s">
        <v>5</v>
      </c>
      <c r="E5" s="274"/>
      <c r="F5" s="274"/>
      <c r="G5" s="275"/>
      <c r="K5" s="84"/>
    </row>
    <row r="6" spans="1:11" ht="15.75" thickBot="1" x14ac:dyDescent="0.3">
      <c r="D6" s="276"/>
      <c r="E6" s="277"/>
      <c r="F6" s="277"/>
      <c r="G6" s="278"/>
      <c r="K6" s="84"/>
    </row>
    <row r="7" spans="1:11" x14ac:dyDescent="0.25">
      <c r="D7" s="269" t="s">
        <v>76</v>
      </c>
      <c r="E7" s="270"/>
      <c r="F7" s="61">
        <f>G50*Inputverdier!$D$9</f>
        <v>135</v>
      </c>
      <c r="G7" s="62" t="s">
        <v>39</v>
      </c>
      <c r="K7" s="84"/>
    </row>
    <row r="8" spans="1:11" x14ac:dyDescent="0.25">
      <c r="D8" s="271" t="s">
        <v>111</v>
      </c>
      <c r="E8" s="272"/>
      <c r="F8" s="63">
        <f>G54*Inputverdier!$D$9</f>
        <v>1200</v>
      </c>
      <c r="G8" s="5" t="s">
        <v>39</v>
      </c>
      <c r="K8" s="84"/>
    </row>
    <row r="9" spans="1:11" x14ac:dyDescent="0.25">
      <c r="D9" s="271" t="s">
        <v>77</v>
      </c>
      <c r="E9" s="272"/>
      <c r="F9" s="63">
        <f>G51*Inputverdier!$D$9</f>
        <v>15</v>
      </c>
      <c r="G9" s="5" t="s">
        <v>39</v>
      </c>
      <c r="K9" s="84"/>
    </row>
    <row r="10" spans="1:11" x14ac:dyDescent="0.25">
      <c r="D10" s="271" t="s">
        <v>78</v>
      </c>
      <c r="E10" s="272"/>
      <c r="F10" s="63">
        <f>G52*Inputverdier!$D$9</f>
        <v>90</v>
      </c>
      <c r="G10" s="5" t="s">
        <v>39</v>
      </c>
      <c r="K10" s="84"/>
    </row>
    <row r="11" spans="1:11" x14ac:dyDescent="0.25">
      <c r="D11" s="271" t="s">
        <v>3</v>
      </c>
      <c r="E11" s="272"/>
      <c r="F11" s="63">
        <f>G53*Inputverdier!$D$9</f>
        <v>45</v>
      </c>
      <c r="G11" s="5" t="s">
        <v>39</v>
      </c>
      <c r="K11" s="84"/>
    </row>
    <row r="12" spans="1:11" x14ac:dyDescent="0.25">
      <c r="D12" s="271" t="s">
        <v>13</v>
      </c>
      <c r="E12" s="272"/>
      <c r="F12" s="63">
        <f>G55*Inputverdier!$D$9</f>
        <v>225</v>
      </c>
      <c r="G12" s="5" t="s">
        <v>39</v>
      </c>
      <c r="K12" s="84"/>
    </row>
    <row r="13" spans="1:11" x14ac:dyDescent="0.25">
      <c r="D13" s="283" t="s">
        <v>79</v>
      </c>
      <c r="E13" s="284"/>
      <c r="F13" s="63">
        <f>G56</f>
        <v>0</v>
      </c>
      <c r="G13" s="5" t="s">
        <v>39</v>
      </c>
      <c r="K13" s="84"/>
    </row>
    <row r="14" spans="1:11" x14ac:dyDescent="0.25">
      <c r="D14" s="281" t="s">
        <v>10</v>
      </c>
      <c r="E14" s="282"/>
      <c r="F14" s="89">
        <f>SUM(F7:F13)</f>
        <v>1710</v>
      </c>
      <c r="G14" s="4" t="s">
        <v>39</v>
      </c>
      <c r="K14" s="84"/>
    </row>
    <row r="15" spans="1:11" ht="15.75" thickBot="1" x14ac:dyDescent="0.3">
      <c r="D15" s="279" t="s">
        <v>75</v>
      </c>
      <c r="E15" s="280"/>
      <c r="F15" s="76">
        <f>F14/Inputverdier!D9</f>
        <v>11.4</v>
      </c>
      <c r="G15" s="3" t="s">
        <v>48</v>
      </c>
      <c r="K15" s="84"/>
    </row>
    <row r="16" spans="1:11" ht="15.75" thickBot="1" x14ac:dyDescent="0.3"/>
    <row r="17" spans="1:20" x14ac:dyDescent="0.25">
      <c r="A17" s="229" t="s">
        <v>11</v>
      </c>
      <c r="B17" s="230"/>
      <c r="C17" s="231"/>
      <c r="D17" s="218" t="s">
        <v>66</v>
      </c>
      <c r="E17" s="204"/>
      <c r="F17" s="218" t="s">
        <v>67</v>
      </c>
      <c r="G17" s="204"/>
      <c r="H17" s="218" t="s">
        <v>68</v>
      </c>
      <c r="I17" s="204"/>
      <c r="J17" s="218" t="s">
        <v>90</v>
      </c>
      <c r="K17" s="204"/>
    </row>
    <row r="18" spans="1:20" ht="15.75" thickBot="1" x14ac:dyDescent="0.3">
      <c r="A18" s="232"/>
      <c r="B18" s="233"/>
      <c r="C18" s="234"/>
      <c r="D18" s="219"/>
      <c r="E18" s="220"/>
      <c r="F18" s="219"/>
      <c r="G18" s="220"/>
      <c r="H18" s="219"/>
      <c r="I18" s="220"/>
      <c r="J18" s="219"/>
      <c r="K18" s="220"/>
      <c r="Q18" s="87"/>
    </row>
    <row r="19" spans="1:20" x14ac:dyDescent="0.25">
      <c r="A19" s="238" t="s">
        <v>17</v>
      </c>
      <c r="B19" s="239"/>
      <c r="C19" s="240"/>
      <c r="D19" s="61">
        <f>G60*('Beregningsmetode 1'!C7/100)*1000</f>
        <v>3690</v>
      </c>
      <c r="E19" s="62" t="s">
        <v>20</v>
      </c>
      <c r="F19" s="61">
        <f>G60*('Beregningsmetode 1'!C7/100)*1000</f>
        <v>3690</v>
      </c>
      <c r="G19" s="62" t="s">
        <v>20</v>
      </c>
      <c r="H19" s="61">
        <f>G60*('Beregningsmetode 1'!C7/100)*1000</f>
        <v>3690</v>
      </c>
      <c r="I19" s="62" t="s">
        <v>20</v>
      </c>
      <c r="J19" s="61">
        <f>G60*('Beregningsmetode 1'!C7/100)*1000</f>
        <v>3690</v>
      </c>
      <c r="K19" s="62" t="s">
        <v>20</v>
      </c>
      <c r="Q19" s="86"/>
      <c r="R19" s="60"/>
      <c r="S19" s="60"/>
      <c r="T19" s="60"/>
    </row>
    <row r="20" spans="1:20" x14ac:dyDescent="0.25">
      <c r="A20" s="241" t="s">
        <v>19</v>
      </c>
      <c r="B20" s="242"/>
      <c r="C20" s="243"/>
      <c r="D20" s="63">
        <f>G61</f>
        <v>1859</v>
      </c>
      <c r="E20" s="5" t="s">
        <v>20</v>
      </c>
      <c r="F20" s="63">
        <f>G61</f>
        <v>1859</v>
      </c>
      <c r="G20" s="5" t="s">
        <v>20</v>
      </c>
      <c r="H20" s="63">
        <f>G61</f>
        <v>1859</v>
      </c>
      <c r="I20" s="5" t="s">
        <v>20</v>
      </c>
      <c r="J20" s="63">
        <f>G61</f>
        <v>1859</v>
      </c>
      <c r="K20" s="5" t="s">
        <v>20</v>
      </c>
      <c r="Q20" s="86"/>
      <c r="R20" s="60"/>
      <c r="S20" s="60"/>
      <c r="T20" s="60"/>
    </row>
    <row r="21" spans="1:20" x14ac:dyDescent="0.25">
      <c r="A21" s="226" t="s">
        <v>21</v>
      </c>
      <c r="B21" s="227"/>
      <c r="C21" s="228"/>
      <c r="D21" s="63">
        <f>G62</f>
        <v>152</v>
      </c>
      <c r="E21" s="5" t="s">
        <v>20</v>
      </c>
      <c r="F21" s="63">
        <f>G62</f>
        <v>152</v>
      </c>
      <c r="G21" s="5" t="s">
        <v>20</v>
      </c>
      <c r="H21" s="63">
        <f>G62</f>
        <v>152</v>
      </c>
      <c r="I21" s="5" t="s">
        <v>20</v>
      </c>
      <c r="J21" s="63">
        <f>G62</f>
        <v>152</v>
      </c>
      <c r="K21" s="5" t="s">
        <v>20</v>
      </c>
      <c r="Q21" s="86"/>
      <c r="R21" s="60"/>
      <c r="S21" s="60"/>
      <c r="T21" s="60"/>
    </row>
    <row r="22" spans="1:20" x14ac:dyDescent="0.25">
      <c r="A22" s="226" t="s">
        <v>22</v>
      </c>
      <c r="B22" s="227"/>
      <c r="C22" s="228"/>
      <c r="D22" s="63">
        <v>7900</v>
      </c>
      <c r="E22" s="5" t="s">
        <v>20</v>
      </c>
      <c r="F22" s="63">
        <v>7500</v>
      </c>
      <c r="G22" s="5" t="s">
        <v>20</v>
      </c>
      <c r="H22" s="63">
        <v>4000</v>
      </c>
      <c r="I22" s="5" t="s">
        <v>20</v>
      </c>
      <c r="J22" s="63">
        <v>2800</v>
      </c>
      <c r="K22" s="5" t="s">
        <v>20</v>
      </c>
      <c r="Q22" s="86"/>
      <c r="R22" s="60"/>
      <c r="S22" s="60"/>
      <c r="T22" s="60"/>
    </row>
    <row r="23" spans="1:20" x14ac:dyDescent="0.25">
      <c r="A23" s="226" t="s">
        <v>33</v>
      </c>
      <c r="B23" s="227"/>
      <c r="C23" s="228"/>
      <c r="D23" s="63">
        <f>G64*('Beregningsmetode 1'!C7/100*1000)</f>
        <v>15615</v>
      </c>
      <c r="E23" s="5" t="s">
        <v>20</v>
      </c>
      <c r="F23" s="63">
        <f>G65*('Beregningsmetode 1'!C7/100*1000)</f>
        <v>25605</v>
      </c>
      <c r="G23" s="5" t="s">
        <v>20</v>
      </c>
      <c r="H23" s="63">
        <f>G66*('Beregningsmetode 1'!C7/100*1000)</f>
        <v>30825</v>
      </c>
      <c r="I23" s="5" t="s">
        <v>20</v>
      </c>
      <c r="J23" s="63">
        <f>G67*('Beregningsmetode 1'!C7/100*1000)</f>
        <v>32265</v>
      </c>
      <c r="K23" s="5" t="s">
        <v>20</v>
      </c>
      <c r="Q23" s="86"/>
      <c r="R23" s="60"/>
      <c r="S23" s="60"/>
      <c r="T23" s="60"/>
    </row>
    <row r="24" spans="1:20" x14ac:dyDescent="0.25">
      <c r="A24" s="226" t="s">
        <v>24</v>
      </c>
      <c r="B24" s="227"/>
      <c r="C24" s="228"/>
      <c r="D24" s="63">
        <v>790</v>
      </c>
      <c r="E24" s="5" t="s">
        <v>20</v>
      </c>
      <c r="F24" s="63">
        <v>790</v>
      </c>
      <c r="G24" s="5" t="s">
        <v>20</v>
      </c>
      <c r="H24" s="63">
        <v>790</v>
      </c>
      <c r="I24" s="5" t="s">
        <v>20</v>
      </c>
      <c r="J24" s="63">
        <v>790</v>
      </c>
      <c r="K24" s="5" t="s">
        <v>20</v>
      </c>
      <c r="P24" s="60"/>
      <c r="Q24" s="86"/>
      <c r="R24" s="60"/>
      <c r="S24" s="60"/>
      <c r="T24" s="60"/>
    </row>
    <row r="25" spans="1:20" x14ac:dyDescent="0.25">
      <c r="A25" s="226" t="s">
        <v>26</v>
      </c>
      <c r="B25" s="227"/>
      <c r="C25" s="228"/>
      <c r="D25" s="63">
        <f>G69</f>
        <v>103</v>
      </c>
      <c r="E25" s="5" t="s">
        <v>20</v>
      </c>
      <c r="F25" s="63">
        <f>G69</f>
        <v>103</v>
      </c>
      <c r="G25" s="5" t="s">
        <v>20</v>
      </c>
      <c r="H25" s="63">
        <f>G69</f>
        <v>103</v>
      </c>
      <c r="I25" s="5" t="s">
        <v>20</v>
      </c>
      <c r="J25" s="63">
        <f>G69</f>
        <v>103</v>
      </c>
      <c r="K25" s="5" t="s">
        <v>20</v>
      </c>
      <c r="P25" s="60"/>
      <c r="Q25" s="86"/>
      <c r="R25" s="60"/>
      <c r="S25" s="60"/>
      <c r="T25" s="60"/>
    </row>
    <row r="26" spans="1:20" x14ac:dyDescent="0.25">
      <c r="A26" s="226" t="s">
        <v>29</v>
      </c>
      <c r="B26" s="227"/>
      <c r="C26" s="228"/>
      <c r="D26" s="63">
        <f>G71</f>
        <v>110</v>
      </c>
      <c r="E26" s="5" t="s">
        <v>20</v>
      </c>
      <c r="F26" s="63">
        <f>G71</f>
        <v>110</v>
      </c>
      <c r="G26" s="5" t="s">
        <v>20</v>
      </c>
      <c r="H26" s="63">
        <f>G71</f>
        <v>110</v>
      </c>
      <c r="I26" s="5" t="s">
        <v>20</v>
      </c>
      <c r="J26" s="63">
        <f>G71</f>
        <v>110</v>
      </c>
      <c r="K26" s="5" t="s">
        <v>20</v>
      </c>
      <c r="P26" s="60"/>
      <c r="Q26" s="86"/>
      <c r="R26" s="60"/>
      <c r="S26" s="60"/>
      <c r="T26" s="60"/>
    </row>
    <row r="27" spans="1:20" x14ac:dyDescent="0.25">
      <c r="A27" s="226" t="s">
        <v>27</v>
      </c>
      <c r="B27" s="227"/>
      <c r="C27" s="228"/>
      <c r="D27" s="63">
        <f>G70/1000*Inputverdier!D10</f>
        <v>452.50000000000006</v>
      </c>
      <c r="E27" s="5" t="s">
        <v>20</v>
      </c>
      <c r="F27" s="63">
        <f>G70/1000*Inputverdier!D10</f>
        <v>452.50000000000006</v>
      </c>
      <c r="G27" s="5" t="s">
        <v>20</v>
      </c>
      <c r="H27" s="63">
        <f>G70/1000*Inputverdier!D10</f>
        <v>452.50000000000006</v>
      </c>
      <c r="I27" s="5" t="s">
        <v>20</v>
      </c>
      <c r="J27" s="63">
        <f>G70/1000*Inputverdier!D10</f>
        <v>452.50000000000006</v>
      </c>
      <c r="K27" s="5" t="s">
        <v>20</v>
      </c>
      <c r="P27" s="60"/>
      <c r="Q27" s="88"/>
      <c r="R27" s="60"/>
      <c r="S27" s="60"/>
      <c r="T27" s="60"/>
    </row>
    <row r="28" spans="1:20" x14ac:dyDescent="0.25">
      <c r="A28" s="226" t="s">
        <v>82</v>
      </c>
      <c r="B28" s="227"/>
      <c r="C28" s="228"/>
      <c r="D28" s="63">
        <f>($G$72*(('Beregningsmetode 1'!C7*10^6)*'Beregningsmetode 1'!C11))/1000</f>
        <v>6300.0000000000009</v>
      </c>
      <c r="E28" s="5" t="s">
        <v>20</v>
      </c>
      <c r="F28" s="63">
        <f>($G$72*(('Beregningsmetode 1'!C7*10^6)*'Beregningsmetode 1'!C11))/1000</f>
        <v>6300.0000000000009</v>
      </c>
      <c r="G28" s="5" t="s">
        <v>20</v>
      </c>
      <c r="H28" s="63">
        <f>($G$72*(('Beregningsmetode 1'!C7*10^6)*'Beregningsmetode 1'!C11))/1000</f>
        <v>6300.0000000000009</v>
      </c>
      <c r="I28" s="5" t="s">
        <v>20</v>
      </c>
      <c r="J28" s="63">
        <f>($G$72*(('Beregningsmetode 1'!C7*10^6)*'Beregningsmetode 1'!C11))/1000</f>
        <v>6300.0000000000009</v>
      </c>
      <c r="K28" s="5" t="s">
        <v>20</v>
      </c>
      <c r="P28" s="60"/>
      <c r="Q28" s="60"/>
      <c r="R28" s="60"/>
      <c r="S28" s="60"/>
      <c r="T28" s="60"/>
    </row>
    <row r="29" spans="1:20" x14ac:dyDescent="0.25">
      <c r="A29" s="226" t="s">
        <v>91</v>
      </c>
      <c r="B29" s="227"/>
      <c r="C29" s="228"/>
      <c r="D29" s="64">
        <f>(G73/100)*'Beregningsmetode 1'!C7*1000</f>
        <v>13500</v>
      </c>
      <c r="E29" s="65" t="s">
        <v>20</v>
      </c>
      <c r="F29" s="64">
        <f>(G73/100)*'Beregningsmetode 1'!C7*1000</f>
        <v>13500</v>
      </c>
      <c r="G29" s="65" t="s">
        <v>20</v>
      </c>
      <c r="H29" s="64">
        <f>(G73/100)*'Beregningsmetode 1'!C7*1000</f>
        <v>13500</v>
      </c>
      <c r="I29" s="65" t="s">
        <v>20</v>
      </c>
      <c r="J29" s="64">
        <f>(G73/100)*'Beregningsmetode 1'!C7*1000</f>
        <v>13500</v>
      </c>
      <c r="K29" s="65" t="s">
        <v>20</v>
      </c>
      <c r="M29" s="60"/>
      <c r="N29" s="60"/>
      <c r="O29" s="60"/>
      <c r="P29" s="60"/>
      <c r="Q29" s="60"/>
      <c r="R29" s="60"/>
      <c r="S29" s="60"/>
      <c r="T29" s="60"/>
    </row>
    <row r="30" spans="1:20" x14ac:dyDescent="0.25">
      <c r="A30" s="223" t="s">
        <v>35</v>
      </c>
      <c r="B30" s="224"/>
      <c r="C30" s="225"/>
      <c r="D30" s="89">
        <f>SUM(D19:D29)</f>
        <v>50471.5</v>
      </c>
      <c r="E30" s="4" t="s">
        <v>20</v>
      </c>
      <c r="F30" s="89">
        <f>SUM(F19:F29)</f>
        <v>60061.5</v>
      </c>
      <c r="G30" s="4" t="s">
        <v>20</v>
      </c>
      <c r="H30" s="89">
        <f>SUM(H19:H29)</f>
        <v>61781.5</v>
      </c>
      <c r="I30" s="4" t="s">
        <v>20</v>
      </c>
      <c r="J30" s="89">
        <f>SUM(J19:J29)</f>
        <v>62021.5</v>
      </c>
      <c r="K30" s="4" t="s">
        <v>20</v>
      </c>
      <c r="L30" s="136"/>
      <c r="M30" s="60"/>
      <c r="N30" s="60"/>
      <c r="O30" s="60"/>
      <c r="P30" s="60"/>
      <c r="Q30" s="60"/>
      <c r="R30" s="60"/>
      <c r="S30" s="60"/>
      <c r="T30" s="60"/>
    </row>
    <row r="31" spans="1:20" ht="32.25" customHeight="1" thickBot="1" x14ac:dyDescent="0.3">
      <c r="A31" s="235" t="s">
        <v>92</v>
      </c>
      <c r="B31" s="236"/>
      <c r="C31" s="237"/>
      <c r="D31" s="143">
        <f>(D30*1000)/('Beregningsmetode 1'!C7*1000000)</f>
        <v>0.11215888888888889</v>
      </c>
      <c r="E31" s="144" t="s">
        <v>14</v>
      </c>
      <c r="F31" s="143">
        <f>(F30*1000)/('Beregningsmetode 1'!C7*1000000)</f>
        <v>0.13347000000000001</v>
      </c>
      <c r="G31" s="144" t="s">
        <v>14</v>
      </c>
      <c r="H31" s="143">
        <f>(H30*1000)/('Beregningsmetode 1'!C7*1000000)</f>
        <v>0.13729222222222223</v>
      </c>
      <c r="I31" s="144" t="s">
        <v>14</v>
      </c>
      <c r="J31" s="143">
        <f>(J30*1000)/('Beregningsmetode 1'!C7*1000000)</f>
        <v>0.13782555555555556</v>
      </c>
      <c r="K31" s="144" t="s">
        <v>14</v>
      </c>
      <c r="L31" s="117">
        <f>AVERAGE(D31,F31,H31,J31)</f>
        <v>0.13018666666666667</v>
      </c>
      <c r="M31" s="71" t="s">
        <v>87</v>
      </c>
      <c r="N31" s="71"/>
      <c r="P31" s="60"/>
      <c r="Q31" s="60"/>
      <c r="R31" s="60"/>
      <c r="S31" s="60"/>
      <c r="T31" s="60"/>
    </row>
    <row r="32" spans="1:20" ht="15.75" thickBot="1" x14ac:dyDescent="0.3">
      <c r="A32" s="262"/>
      <c r="B32" s="263"/>
      <c r="C32" s="263"/>
      <c r="D32" s="67"/>
      <c r="E32" s="66"/>
      <c r="F32" s="67"/>
      <c r="G32" s="66"/>
      <c r="H32" s="67"/>
      <c r="I32" s="66"/>
      <c r="J32" s="67"/>
      <c r="K32" s="59"/>
      <c r="M32" s="60"/>
      <c r="N32" s="60"/>
      <c r="O32" s="60"/>
      <c r="P32" s="60"/>
      <c r="Q32" s="60"/>
      <c r="R32" s="60"/>
      <c r="S32" s="60"/>
      <c r="T32" s="60"/>
    </row>
    <row r="33" spans="1:14" x14ac:dyDescent="0.25">
      <c r="A33" s="259" t="s">
        <v>117</v>
      </c>
      <c r="B33" s="260"/>
      <c r="C33" s="261"/>
      <c r="D33" s="77">
        <f>F14*'Beregningsmetode 1'!C20*1000</f>
        <v>155193.43606270084</v>
      </c>
      <c r="E33" s="78" t="s">
        <v>20</v>
      </c>
      <c r="F33" s="77">
        <f>F14*'Beregningsmetode 1'!C20*1000</f>
        <v>155193.43606270084</v>
      </c>
      <c r="G33" s="78" t="s">
        <v>20</v>
      </c>
      <c r="H33" s="77">
        <f>F14*'Beregningsmetode 1'!C20*1000</f>
        <v>155193.43606270084</v>
      </c>
      <c r="I33" s="78" t="s">
        <v>20</v>
      </c>
      <c r="J33" s="77">
        <f>F14*'Beregningsmetode 1'!C20*1000</f>
        <v>155193.43606270084</v>
      </c>
      <c r="K33" s="78" t="s">
        <v>20</v>
      </c>
    </row>
    <row r="34" spans="1:14" ht="15.75" thickBot="1" x14ac:dyDescent="0.3">
      <c r="A34" s="264" t="s">
        <v>118</v>
      </c>
      <c r="B34" s="265"/>
      <c r="C34" s="266"/>
      <c r="D34" s="77">
        <f>(D33*1000)/('Beregningsmetode 1'!$C$7*1000000)</f>
        <v>0.34487430236155742</v>
      </c>
      <c r="E34" s="78" t="s">
        <v>14</v>
      </c>
      <c r="F34" s="77">
        <f>(F33*1000)/('Beregningsmetode 1'!$C$7*1000000)</f>
        <v>0.34487430236155742</v>
      </c>
      <c r="G34" s="78" t="s">
        <v>14</v>
      </c>
      <c r="H34" s="77">
        <f>(H33*1000)/('Beregningsmetode 1'!$C$7*1000000)</f>
        <v>0.34487430236155742</v>
      </c>
      <c r="I34" s="78" t="s">
        <v>14</v>
      </c>
      <c r="J34" s="77">
        <f>(J33*1000)/('Beregningsmetode 1'!$C$7*1000000)</f>
        <v>0.34487430236155742</v>
      </c>
      <c r="K34" s="78" t="s">
        <v>14</v>
      </c>
    </row>
    <row r="35" spans="1:14" ht="15.75" thickBot="1" x14ac:dyDescent="0.3">
      <c r="A35" s="267"/>
      <c r="B35" s="268"/>
      <c r="C35" s="268"/>
      <c r="D35" s="67"/>
      <c r="E35" s="66"/>
      <c r="F35" s="67"/>
      <c r="G35" s="66"/>
      <c r="H35" s="67"/>
      <c r="I35" s="66"/>
      <c r="J35" s="67"/>
      <c r="K35" s="59"/>
    </row>
    <row r="36" spans="1:14" x14ac:dyDescent="0.25">
      <c r="A36" s="264" t="s">
        <v>70</v>
      </c>
      <c r="B36" s="265"/>
      <c r="C36" s="266"/>
      <c r="D36" s="77">
        <f>D30+D33</f>
        <v>205664.93606270084</v>
      </c>
      <c r="E36" s="78" t="s">
        <v>20</v>
      </c>
      <c r="F36" s="77">
        <f>F30+F33</f>
        <v>215254.93606270084</v>
      </c>
      <c r="G36" s="78" t="s">
        <v>20</v>
      </c>
      <c r="H36" s="77">
        <f>H30+H33</f>
        <v>216974.93606270084</v>
      </c>
      <c r="I36" s="78" t="s">
        <v>20</v>
      </c>
      <c r="J36" s="77">
        <f>J30+J33</f>
        <v>217214.93606270084</v>
      </c>
      <c r="K36" s="78" t="s">
        <v>20</v>
      </c>
    </row>
    <row r="37" spans="1:14" ht="15.75" thickBot="1" x14ac:dyDescent="0.3">
      <c r="A37" s="256" t="s">
        <v>93</v>
      </c>
      <c r="B37" s="257"/>
      <c r="C37" s="258"/>
      <c r="D37" s="76">
        <f>D31+D34</f>
        <v>0.45703319125044628</v>
      </c>
      <c r="E37" s="78" t="s">
        <v>14</v>
      </c>
      <c r="F37" s="76">
        <f>F31+F34</f>
        <v>0.47834430236155745</v>
      </c>
      <c r="G37" s="78" t="s">
        <v>14</v>
      </c>
      <c r="H37" s="76">
        <f>H31+H34</f>
        <v>0.48216652458377962</v>
      </c>
      <c r="I37" s="78" t="s">
        <v>14</v>
      </c>
      <c r="J37" s="76">
        <f>J31+J34</f>
        <v>0.48269985791711301</v>
      </c>
      <c r="K37" s="78" t="s">
        <v>14</v>
      </c>
      <c r="L37" s="135"/>
    </row>
    <row r="38" spans="1:14" ht="15.75" thickBot="1" x14ac:dyDescent="0.3">
      <c r="A38" s="267"/>
      <c r="B38" s="268"/>
      <c r="C38" s="268"/>
      <c r="D38" s="194"/>
      <c r="E38" s="195"/>
      <c r="F38" s="194"/>
      <c r="G38" s="195"/>
      <c r="H38" s="194"/>
      <c r="I38" s="195"/>
      <c r="J38" s="194"/>
      <c r="K38" s="102"/>
    </row>
    <row r="39" spans="1:14" ht="15" customHeight="1" x14ac:dyDescent="0.25">
      <c r="A39" s="250" t="s">
        <v>71</v>
      </c>
      <c r="B39" s="251"/>
      <c r="C39" s="252"/>
      <c r="D39" s="74">
        <f>('Beregningsmetode 1'!$C$7*1000000*'Beregningsmetode 1'!$C$11)/1000</f>
        <v>252000.00000000003</v>
      </c>
      <c r="E39" s="75" t="s">
        <v>20</v>
      </c>
      <c r="F39" s="74">
        <f>('Beregningsmetode 1'!$C$7*1000000*'Beregningsmetode 1'!$C$11)/1000</f>
        <v>252000.00000000003</v>
      </c>
      <c r="G39" s="75" t="s">
        <v>20</v>
      </c>
      <c r="H39" s="74">
        <f>('Beregningsmetode 1'!$C$7*1000000*'Beregningsmetode 1'!$C$11)/1000</f>
        <v>252000.00000000003</v>
      </c>
      <c r="I39" s="75" t="s">
        <v>20</v>
      </c>
      <c r="J39" s="74">
        <f>('Beregningsmetode 1'!$C$7*1000000*'Beregningsmetode 1'!$C$11)/1000</f>
        <v>252000.00000000003</v>
      </c>
      <c r="K39" s="75" t="s">
        <v>20</v>
      </c>
      <c r="L39" s="72"/>
      <c r="M39" s="73"/>
      <c r="N39" s="73"/>
    </row>
    <row r="40" spans="1:14" ht="15" customHeight="1" thickBot="1" x14ac:dyDescent="0.3">
      <c r="A40" s="235" t="s">
        <v>94</v>
      </c>
      <c r="B40" s="236"/>
      <c r="C40" s="237"/>
      <c r="D40" s="76">
        <f>(D39*1000)/('Beregningsmetode 1'!$C$7*1000000)</f>
        <v>0.56000000000000005</v>
      </c>
      <c r="E40" s="3" t="s">
        <v>14</v>
      </c>
      <c r="F40" s="76">
        <f>(F39*1000)/('Beregningsmetode 1'!$C$7*1000000)</f>
        <v>0.56000000000000005</v>
      </c>
      <c r="G40" s="3" t="s">
        <v>14</v>
      </c>
      <c r="H40" s="76">
        <f>(H39*1000)/('Beregningsmetode 1'!$C$7*1000000)</f>
        <v>0.56000000000000005</v>
      </c>
      <c r="I40" s="3" t="s">
        <v>14</v>
      </c>
      <c r="J40" s="76">
        <f>(J39*1000)/('Beregningsmetode 1'!$C$7*1000000)</f>
        <v>0.56000000000000005</v>
      </c>
      <c r="K40" s="3" t="s">
        <v>14</v>
      </c>
      <c r="L40" s="72"/>
      <c r="M40" s="73"/>
      <c r="N40" s="73"/>
    </row>
    <row r="41" spans="1:14" ht="15.75" thickBot="1" x14ac:dyDescent="0.3">
      <c r="A41" s="256"/>
      <c r="B41" s="257"/>
      <c r="C41" s="257"/>
      <c r="D41" s="196"/>
      <c r="E41" s="197"/>
      <c r="F41" s="196"/>
      <c r="G41" s="197"/>
      <c r="H41" s="196"/>
      <c r="I41" s="197"/>
      <c r="J41" s="196"/>
      <c r="K41" s="3"/>
      <c r="L41" s="72"/>
      <c r="M41" s="73"/>
      <c r="N41" s="73"/>
    </row>
    <row r="42" spans="1:14" x14ac:dyDescent="0.25">
      <c r="A42" s="253" t="s">
        <v>114</v>
      </c>
      <c r="B42" s="254"/>
      <c r="C42" s="255"/>
      <c r="D42" s="74">
        <f>D39-D36</f>
        <v>46335.063937299186</v>
      </c>
      <c r="E42" s="75" t="s">
        <v>20</v>
      </c>
      <c r="F42" s="74">
        <f>F39-F36</f>
        <v>36745.063937299186</v>
      </c>
      <c r="G42" s="75" t="s">
        <v>20</v>
      </c>
      <c r="H42" s="74">
        <f>H39-H36</f>
        <v>35025.063937299186</v>
      </c>
      <c r="I42" s="75" t="s">
        <v>20</v>
      </c>
      <c r="J42" s="74">
        <f>J39-J36</f>
        <v>34785.063937299186</v>
      </c>
      <c r="K42" s="75" t="s">
        <v>20</v>
      </c>
      <c r="L42" s="123"/>
    </row>
    <row r="43" spans="1:14" ht="15.75" thickBot="1" x14ac:dyDescent="0.3">
      <c r="A43" s="256" t="s">
        <v>119</v>
      </c>
      <c r="B43" s="257"/>
      <c r="C43" s="258"/>
      <c r="D43" s="76">
        <f>(D42*1000)/('Beregningsmetode 1'!$C$7*1000000)</f>
        <v>0.10296680874955375</v>
      </c>
      <c r="E43" s="3" t="s">
        <v>14</v>
      </c>
      <c r="F43" s="76">
        <f>(F42*1000)/('Beregningsmetode 1'!$C$7*1000000)</f>
        <v>8.1655697638442631E-2</v>
      </c>
      <c r="G43" s="3" t="s">
        <v>14</v>
      </c>
      <c r="H43" s="76">
        <f>(H42*1000)/('Beregningsmetode 1'!$C$7*1000000)</f>
        <v>7.7833475416220405E-2</v>
      </c>
      <c r="I43" s="3" t="s">
        <v>14</v>
      </c>
      <c r="J43" s="76">
        <f>(J42*1000)/('Beregningsmetode 1'!$C$7*1000000)</f>
        <v>7.7300142082887074E-2</v>
      </c>
      <c r="K43" s="3" t="s">
        <v>14</v>
      </c>
      <c r="L43" s="123"/>
    </row>
    <row r="44" spans="1:14" ht="15.75" thickBot="1" x14ac:dyDescent="0.3">
      <c r="A44" s="83"/>
      <c r="L44" s="60"/>
      <c r="M44" s="60"/>
      <c r="N44" s="60"/>
    </row>
    <row r="45" spans="1:14" ht="15" customHeight="1" thickBot="1" x14ac:dyDescent="0.3">
      <c r="A45" s="244" t="s">
        <v>115</v>
      </c>
      <c r="B45" s="245"/>
      <c r="C45" s="134">
        <f>(D42+F42+H42+J42)*5/1000</f>
        <v>764.4512787459837</v>
      </c>
      <c r="D45" s="102" t="s">
        <v>39</v>
      </c>
      <c r="L45" s="60"/>
      <c r="M45" s="60"/>
      <c r="N45" s="60"/>
    </row>
    <row r="46" spans="1:14" x14ac:dyDescent="0.25">
      <c r="A46" t="s">
        <v>123</v>
      </c>
      <c r="L46" s="60"/>
      <c r="M46" s="60"/>
      <c r="N46" s="60"/>
    </row>
    <row r="47" spans="1:14" x14ac:dyDescent="0.25">
      <c r="A47" t="s">
        <v>116</v>
      </c>
    </row>
    <row r="48" spans="1:14" ht="15.75" thickBot="1" x14ac:dyDescent="0.3"/>
    <row r="49" spans="4:9" ht="15" customHeight="1" x14ac:dyDescent="0.25">
      <c r="E49" s="246" t="s">
        <v>74</v>
      </c>
      <c r="F49" s="247"/>
      <c r="G49" s="247"/>
      <c r="H49" s="248"/>
      <c r="I49" s="85"/>
    </row>
    <row r="50" spans="4:9" x14ac:dyDescent="0.25">
      <c r="E50" s="221" t="s">
        <v>6</v>
      </c>
      <c r="F50" s="222"/>
      <c r="G50" s="147">
        <v>0.9</v>
      </c>
      <c r="H50" s="148" t="s">
        <v>48</v>
      </c>
    </row>
    <row r="51" spans="4:9" x14ac:dyDescent="0.25">
      <c r="E51" s="221" t="s">
        <v>7</v>
      </c>
      <c r="F51" s="222"/>
      <c r="G51" s="147">
        <v>0.1</v>
      </c>
      <c r="H51" s="148" t="s">
        <v>48</v>
      </c>
    </row>
    <row r="52" spans="4:9" x14ac:dyDescent="0.25">
      <c r="E52" s="145" t="s">
        <v>96</v>
      </c>
      <c r="F52" s="146"/>
      <c r="G52" s="147">
        <v>0.6</v>
      </c>
      <c r="H52" s="148" t="s">
        <v>48</v>
      </c>
    </row>
    <row r="53" spans="4:9" x14ac:dyDescent="0.25">
      <c r="E53" s="221" t="s">
        <v>8</v>
      </c>
      <c r="F53" s="222"/>
      <c r="G53" s="147">
        <v>0.3</v>
      </c>
      <c r="H53" s="148" t="s">
        <v>48</v>
      </c>
    </row>
    <row r="54" spans="4:9" x14ac:dyDescent="0.25">
      <c r="E54" s="221" t="s">
        <v>9</v>
      </c>
      <c r="F54" s="222"/>
      <c r="G54" s="147">
        <v>8</v>
      </c>
      <c r="H54" s="148" t="s">
        <v>48</v>
      </c>
    </row>
    <row r="55" spans="4:9" x14ac:dyDescent="0.25">
      <c r="E55" s="221" t="s">
        <v>12</v>
      </c>
      <c r="F55" s="222"/>
      <c r="G55" s="147">
        <v>1.5</v>
      </c>
      <c r="H55" s="148" t="s">
        <v>48</v>
      </c>
    </row>
    <row r="56" spans="4:9" ht="15.75" thickBot="1" x14ac:dyDescent="0.3">
      <c r="E56" s="214" t="s">
        <v>97</v>
      </c>
      <c r="F56" s="215"/>
      <c r="G56" s="149">
        <f>Inputverdier!D12</f>
        <v>0</v>
      </c>
      <c r="H56" s="150" t="s">
        <v>39</v>
      </c>
      <c r="I56" s="71" t="s">
        <v>80</v>
      </c>
    </row>
    <row r="58" spans="4:9" ht="15" customHeight="1" thickBot="1" x14ac:dyDescent="0.3"/>
    <row r="59" spans="4:9" x14ac:dyDescent="0.25">
      <c r="D59" s="205" t="s">
        <v>73</v>
      </c>
      <c r="E59" s="206"/>
      <c r="F59" s="206"/>
      <c r="G59" s="206"/>
      <c r="H59" s="206"/>
      <c r="I59" s="207"/>
    </row>
    <row r="60" spans="4:9" x14ac:dyDescent="0.25">
      <c r="D60" s="212" t="s">
        <v>17</v>
      </c>
      <c r="E60" s="213"/>
      <c r="F60" s="213"/>
      <c r="G60" s="151">
        <v>0.82</v>
      </c>
      <c r="H60" s="152" t="s">
        <v>18</v>
      </c>
      <c r="I60" s="153"/>
    </row>
    <row r="61" spans="4:9" x14ac:dyDescent="0.25">
      <c r="D61" s="212" t="s">
        <v>19</v>
      </c>
      <c r="E61" s="213"/>
      <c r="F61" s="213"/>
      <c r="G61" s="151">
        <v>1859</v>
      </c>
      <c r="H61" s="152" t="s">
        <v>20</v>
      </c>
      <c r="I61" s="153"/>
    </row>
    <row r="62" spans="4:9" x14ac:dyDescent="0.25">
      <c r="D62" s="216" t="s">
        <v>21</v>
      </c>
      <c r="E62" s="217"/>
      <c r="F62" s="217"/>
      <c r="G62" s="151">
        <v>152</v>
      </c>
      <c r="H62" s="152" t="s">
        <v>20</v>
      </c>
      <c r="I62" s="153"/>
    </row>
    <row r="63" spans="4:9" x14ac:dyDescent="0.25">
      <c r="D63" s="216" t="s">
        <v>22</v>
      </c>
      <c r="E63" s="217"/>
      <c r="F63" s="217"/>
      <c r="G63" s="181" t="s">
        <v>120</v>
      </c>
      <c r="H63" s="152"/>
      <c r="I63" s="153"/>
    </row>
    <row r="64" spans="4:9" x14ac:dyDescent="0.25">
      <c r="D64" s="216" t="s">
        <v>103</v>
      </c>
      <c r="E64" s="217"/>
      <c r="F64" s="217"/>
      <c r="G64" s="151">
        <v>3.47</v>
      </c>
      <c r="H64" s="152" t="s">
        <v>23</v>
      </c>
      <c r="I64" s="153"/>
    </row>
    <row r="65" spans="4:12" x14ac:dyDescent="0.25">
      <c r="D65" s="216" t="s">
        <v>104</v>
      </c>
      <c r="E65" s="217"/>
      <c r="F65" s="217"/>
      <c r="G65" s="151">
        <v>5.69</v>
      </c>
      <c r="H65" s="152" t="s">
        <v>23</v>
      </c>
      <c r="I65" s="153"/>
    </row>
    <row r="66" spans="4:12" x14ac:dyDescent="0.25">
      <c r="D66" s="216" t="s">
        <v>105</v>
      </c>
      <c r="E66" s="217"/>
      <c r="F66" s="217"/>
      <c r="G66" s="151">
        <v>6.85</v>
      </c>
      <c r="H66" s="152" t="s">
        <v>23</v>
      </c>
      <c r="I66" s="153"/>
    </row>
    <row r="67" spans="4:12" x14ac:dyDescent="0.25">
      <c r="D67" s="212" t="s">
        <v>106</v>
      </c>
      <c r="E67" s="213"/>
      <c r="F67" s="213"/>
      <c r="G67" s="151">
        <v>7.17</v>
      </c>
      <c r="H67" s="152" t="s">
        <v>23</v>
      </c>
      <c r="I67" s="153"/>
    </row>
    <row r="68" spans="4:12" x14ac:dyDescent="0.25">
      <c r="D68" s="212" t="s">
        <v>24</v>
      </c>
      <c r="E68" s="213"/>
      <c r="F68" s="213"/>
      <c r="G68" s="154">
        <v>2.5000000000000001E-3</v>
      </c>
      <c r="H68" s="152" t="s">
        <v>25</v>
      </c>
      <c r="I68" s="153"/>
    </row>
    <row r="69" spans="4:12" x14ac:dyDescent="0.25">
      <c r="D69" s="212" t="s">
        <v>26</v>
      </c>
      <c r="E69" s="213"/>
      <c r="F69" s="213"/>
      <c r="G69" s="151">
        <v>103</v>
      </c>
      <c r="H69" s="152" t="s">
        <v>20</v>
      </c>
      <c r="I69" s="153"/>
    </row>
    <row r="70" spans="4:12" x14ac:dyDescent="0.25">
      <c r="D70" s="212" t="s">
        <v>107</v>
      </c>
      <c r="E70" s="213"/>
      <c r="F70" s="213"/>
      <c r="G70" s="151">
        <v>9050</v>
      </c>
      <c r="H70" s="152" t="s">
        <v>28</v>
      </c>
      <c r="I70" s="153"/>
    </row>
    <row r="71" spans="4:12" x14ac:dyDescent="0.25">
      <c r="D71" s="212" t="s">
        <v>29</v>
      </c>
      <c r="E71" s="213"/>
      <c r="F71" s="213"/>
      <c r="G71" s="151">
        <v>110</v>
      </c>
      <c r="H71" s="152" t="s">
        <v>20</v>
      </c>
      <c r="I71" s="153"/>
    </row>
    <row r="72" spans="4:12" x14ac:dyDescent="0.25">
      <c r="D72" s="161" t="s">
        <v>82</v>
      </c>
      <c r="E72" s="156"/>
      <c r="F72" s="156"/>
      <c r="G72" s="155">
        <v>2.5000000000000001E-2</v>
      </c>
      <c r="H72" s="156" t="s">
        <v>69</v>
      </c>
      <c r="I72" s="157"/>
      <c r="J72" s="71"/>
      <c r="K72" s="71"/>
      <c r="L72" s="71"/>
    </row>
    <row r="73" spans="4:12" ht="15.75" thickBot="1" x14ac:dyDescent="0.3">
      <c r="D73" s="210" t="s">
        <v>91</v>
      </c>
      <c r="E73" s="211"/>
      <c r="F73" s="211"/>
      <c r="G73" s="158">
        <v>3</v>
      </c>
      <c r="H73" s="159" t="s">
        <v>18</v>
      </c>
      <c r="I73" s="160"/>
      <c r="J73" s="71"/>
      <c r="K73" s="71"/>
      <c r="L73" s="71"/>
    </row>
    <row r="74" spans="4:12" x14ac:dyDescent="0.25">
      <c r="I74" s="71"/>
      <c r="J74" s="71"/>
      <c r="K74" s="71"/>
      <c r="L74" s="71"/>
    </row>
  </sheetData>
  <mergeCells count="65">
    <mergeCell ref="A2:K2"/>
    <mergeCell ref="D10:E10"/>
    <mergeCell ref="D9:E9"/>
    <mergeCell ref="D8:E8"/>
    <mergeCell ref="D5:G6"/>
    <mergeCell ref="D15:E15"/>
    <mergeCell ref="D14:E14"/>
    <mergeCell ref="D13:E13"/>
    <mergeCell ref="D12:E12"/>
    <mergeCell ref="D11:E11"/>
    <mergeCell ref="A1:K1"/>
    <mergeCell ref="D71:F71"/>
    <mergeCell ref="A39:C39"/>
    <mergeCell ref="A42:C42"/>
    <mergeCell ref="A41:C41"/>
    <mergeCell ref="A43:C43"/>
    <mergeCell ref="A33:C33"/>
    <mergeCell ref="A32:C32"/>
    <mergeCell ref="A34:C34"/>
    <mergeCell ref="A37:C37"/>
    <mergeCell ref="A36:C36"/>
    <mergeCell ref="A35:C35"/>
    <mergeCell ref="A38:C38"/>
    <mergeCell ref="A23:C23"/>
    <mergeCell ref="E55:F55"/>
    <mergeCell ref="D7:E7"/>
    <mergeCell ref="E54:F54"/>
    <mergeCell ref="E53:F53"/>
    <mergeCell ref="E51:F51"/>
    <mergeCell ref="A45:B45"/>
    <mergeCell ref="E49:H49"/>
    <mergeCell ref="A40:C40"/>
    <mergeCell ref="A31:C31"/>
    <mergeCell ref="F17:G18"/>
    <mergeCell ref="A19:C19"/>
    <mergeCell ref="A20:C20"/>
    <mergeCell ref="A21:C21"/>
    <mergeCell ref="A22:C22"/>
    <mergeCell ref="H17:I18"/>
    <mergeCell ref="J17:K18"/>
    <mergeCell ref="A3:K3"/>
    <mergeCell ref="D70:F70"/>
    <mergeCell ref="D69:F69"/>
    <mergeCell ref="E50:F50"/>
    <mergeCell ref="A30:C30"/>
    <mergeCell ref="D17:E18"/>
    <mergeCell ref="A24:C24"/>
    <mergeCell ref="A25:C25"/>
    <mergeCell ref="A26:C26"/>
    <mergeCell ref="A27:C27"/>
    <mergeCell ref="A28:C28"/>
    <mergeCell ref="A29:C29"/>
    <mergeCell ref="A17:C18"/>
    <mergeCell ref="D67:F67"/>
    <mergeCell ref="D73:F73"/>
    <mergeCell ref="D68:F68"/>
    <mergeCell ref="E56:F56"/>
    <mergeCell ref="D59:I59"/>
    <mergeCell ref="D60:F60"/>
    <mergeCell ref="D61:F61"/>
    <mergeCell ref="D66:F66"/>
    <mergeCell ref="D65:F65"/>
    <mergeCell ref="D64:F64"/>
    <mergeCell ref="D63:F63"/>
    <mergeCell ref="D62:F62"/>
  </mergeCells>
  <conditionalFormatting sqref="D42:D43 F42:F43 H42:H43 J42:J43">
    <cfRule type="cellIs" priority="4" operator="equal">
      <formula>0</formula>
    </cfRule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C45">
    <cfRule type="cellIs" priority="1" operator="equal">
      <formula>0</formula>
    </cfRule>
    <cfRule type="cellIs" dxfId="37" priority="2" operator="lessThan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landscape" r:id="rId1"/>
  <headerFooter>
    <oddHeader>&amp;CModell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39"/>
  <sheetViews>
    <sheetView zoomScale="90" zoomScaleNormal="90" workbookViewId="0">
      <selection activeCell="I11" sqref="I11"/>
    </sheetView>
  </sheetViews>
  <sheetFormatPr baseColWidth="10" defaultRowHeight="15" x14ac:dyDescent="0.25"/>
  <cols>
    <col min="1" max="1" width="24.42578125" customWidth="1"/>
    <col min="2" max="2" width="7.140625" bestFit="1" customWidth="1"/>
    <col min="3" max="8" width="7.140625" customWidth="1"/>
    <col min="9" max="9" width="13" customWidth="1"/>
    <col min="13" max="13" width="13.85546875" bestFit="1" customWidth="1"/>
  </cols>
  <sheetData>
    <row r="1" spans="1:12" ht="28.5" x14ac:dyDescent="0.45">
      <c r="A1" s="249" t="s">
        <v>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x14ac:dyDescent="0.25">
      <c r="A2" s="291" t="s">
        <v>127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5" customHeight="1" x14ac:dyDescent="0.25">
      <c r="A3" s="288" t="s">
        <v>89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ht="15.75" thickBot="1" x14ac:dyDescent="0.3"/>
    <row r="5" spans="1:12" x14ac:dyDescent="0.25">
      <c r="A5" s="95" t="s">
        <v>56</v>
      </c>
      <c r="B5" s="90"/>
      <c r="C5" s="289"/>
      <c r="D5" s="290"/>
    </row>
    <row r="6" spans="1:12" x14ac:dyDescent="0.25">
      <c r="A6" s="68" t="s">
        <v>1</v>
      </c>
      <c r="B6" s="70">
        <f>Inputverdier!D9</f>
        <v>150</v>
      </c>
      <c r="C6" s="286" t="s">
        <v>0</v>
      </c>
      <c r="D6" s="285"/>
    </row>
    <row r="7" spans="1:12" x14ac:dyDescent="0.25">
      <c r="A7" s="68" t="s">
        <v>63</v>
      </c>
      <c r="B7" s="70">
        <f>B6*B8/1000</f>
        <v>450</v>
      </c>
      <c r="C7" s="285" t="s">
        <v>2</v>
      </c>
      <c r="D7" s="285"/>
    </row>
    <row r="8" spans="1:12" x14ac:dyDescent="0.25">
      <c r="A8" s="68" t="s">
        <v>65</v>
      </c>
      <c r="B8" s="70">
        <v>3000</v>
      </c>
      <c r="C8" s="285" t="s">
        <v>60</v>
      </c>
      <c r="D8" s="285"/>
    </row>
    <row r="9" spans="1:12" x14ac:dyDescent="0.25">
      <c r="A9" s="68" t="s">
        <v>46</v>
      </c>
      <c r="B9" s="70">
        <v>0.38</v>
      </c>
      <c r="C9" s="285" t="s">
        <v>14</v>
      </c>
      <c r="D9" s="285"/>
    </row>
    <row r="10" spans="1:12" x14ac:dyDescent="0.25">
      <c r="A10" s="68" t="s">
        <v>15</v>
      </c>
      <c r="B10" s="70">
        <v>0.18</v>
      </c>
      <c r="C10" s="285" t="s">
        <v>14</v>
      </c>
      <c r="D10" s="285"/>
    </row>
    <row r="11" spans="1:12" x14ac:dyDescent="0.25">
      <c r="A11" s="68" t="s">
        <v>57</v>
      </c>
      <c r="B11" s="69">
        <f>B9+B10</f>
        <v>0.56000000000000005</v>
      </c>
      <c r="C11" s="285" t="s">
        <v>14</v>
      </c>
      <c r="D11" s="285"/>
    </row>
    <row r="12" spans="1:12" x14ac:dyDescent="0.25">
      <c r="A12" s="68" t="s">
        <v>38</v>
      </c>
      <c r="B12" s="70">
        <v>12</v>
      </c>
      <c r="C12" s="285" t="s">
        <v>48</v>
      </c>
      <c r="D12" s="285"/>
    </row>
    <row r="13" spans="1:12" x14ac:dyDescent="0.25">
      <c r="A13" s="68" t="s">
        <v>64</v>
      </c>
      <c r="B13" s="91">
        <v>6.5000000000000002E-2</v>
      </c>
      <c r="C13" s="285"/>
      <c r="D13" s="285"/>
    </row>
    <row r="14" spans="1:12" x14ac:dyDescent="0.25">
      <c r="A14" s="68" t="s">
        <v>43</v>
      </c>
      <c r="B14" s="70">
        <v>20</v>
      </c>
      <c r="C14" s="285" t="s">
        <v>44</v>
      </c>
      <c r="D14" s="285"/>
    </row>
    <row r="15" spans="1:12" x14ac:dyDescent="0.25">
      <c r="A15" s="68" t="s">
        <v>49</v>
      </c>
      <c r="B15" s="92">
        <f>B13/(1-(1/((1+B13)^B14)))</f>
        <v>9.0756395358304584E-2</v>
      </c>
      <c r="C15" s="285"/>
      <c r="D15" s="285"/>
    </row>
    <row r="16" spans="1:12" x14ac:dyDescent="0.25">
      <c r="A16" s="68" t="s">
        <v>112</v>
      </c>
      <c r="B16" s="93">
        <f>B12*B6*B15</f>
        <v>163.36151164494825</v>
      </c>
      <c r="C16" s="285" t="s">
        <v>39</v>
      </c>
      <c r="D16" s="285"/>
    </row>
    <row r="17" spans="1:4" ht="30" x14ac:dyDescent="0.25">
      <c r="A17" s="137" t="s">
        <v>121</v>
      </c>
      <c r="B17" s="182">
        <f>(($B$16*1000000)/(B7*1000))/1000</f>
        <v>0.36302558143321828</v>
      </c>
      <c r="C17" s="287" t="s">
        <v>61</v>
      </c>
      <c r="D17" s="287"/>
    </row>
    <row r="18" spans="1:4" x14ac:dyDescent="0.25">
      <c r="A18" s="68" t="s">
        <v>40</v>
      </c>
      <c r="B18" s="70">
        <v>0.12</v>
      </c>
      <c r="C18" s="285" t="s">
        <v>61</v>
      </c>
      <c r="D18" s="285"/>
    </row>
    <row r="19" spans="1:4" x14ac:dyDescent="0.25">
      <c r="A19" s="68" t="s">
        <v>42</v>
      </c>
      <c r="B19" s="69">
        <f>B17+B18</f>
        <v>0.48302558143321828</v>
      </c>
      <c r="C19" s="286" t="s">
        <v>61</v>
      </c>
      <c r="D19" s="285"/>
    </row>
    <row r="20" spans="1:4" x14ac:dyDescent="0.25">
      <c r="A20" s="68" t="s">
        <v>85</v>
      </c>
      <c r="B20" s="103">
        <v>1.2E-2</v>
      </c>
      <c r="C20" s="99" t="s">
        <v>14</v>
      </c>
      <c r="D20" s="96"/>
    </row>
    <row r="21" spans="1:4" x14ac:dyDescent="0.25">
      <c r="A21" s="68" t="s">
        <v>86</v>
      </c>
      <c r="B21" s="103">
        <v>1.7999999999999999E-2</v>
      </c>
      <c r="C21" s="99" t="s">
        <v>14</v>
      </c>
      <c r="D21" s="96"/>
    </row>
    <row r="22" spans="1:4" ht="15.75" thickBot="1" x14ac:dyDescent="0.3">
      <c r="A22" s="94" t="s">
        <v>82</v>
      </c>
      <c r="B22" s="122">
        <v>2.5000000000000001E-2</v>
      </c>
      <c r="C22" s="97" t="s">
        <v>69</v>
      </c>
      <c r="D22" s="98"/>
    </row>
    <row r="23" spans="1:4" x14ac:dyDescent="0.25">
      <c r="A23" t="s">
        <v>123</v>
      </c>
      <c r="B23" s="162"/>
      <c r="C23" s="163"/>
      <c r="D23" s="163"/>
    </row>
    <row r="24" spans="1:4" x14ac:dyDescent="0.25">
      <c r="A24" s="87"/>
      <c r="B24" s="162"/>
      <c r="C24" s="163"/>
      <c r="D24" s="163"/>
    </row>
    <row r="25" spans="1:4" x14ac:dyDescent="0.25">
      <c r="A25" s="87"/>
      <c r="B25" s="162"/>
      <c r="C25" s="163"/>
      <c r="D25" s="163"/>
    </row>
    <row r="26" spans="1:4" x14ac:dyDescent="0.25">
      <c r="A26" s="87"/>
      <c r="B26" s="162"/>
      <c r="C26" s="163"/>
      <c r="D26" s="163"/>
    </row>
    <row r="27" spans="1:4" x14ac:dyDescent="0.25">
      <c r="A27" s="87"/>
      <c r="B27" s="162"/>
      <c r="C27" s="163"/>
      <c r="D27" s="163"/>
    </row>
    <row r="28" spans="1:4" x14ac:dyDescent="0.25">
      <c r="A28" s="87"/>
      <c r="B28" s="162"/>
      <c r="C28" s="163"/>
      <c r="D28" s="163"/>
    </row>
    <row r="29" spans="1:4" x14ac:dyDescent="0.25">
      <c r="A29" s="87"/>
      <c r="B29" s="162"/>
      <c r="C29" s="163"/>
      <c r="D29" s="163"/>
    </row>
    <row r="30" spans="1:4" x14ac:dyDescent="0.25">
      <c r="A30" s="87"/>
      <c r="B30" s="162"/>
      <c r="C30" s="163"/>
      <c r="D30" s="163"/>
    </row>
    <row r="31" spans="1:4" x14ac:dyDescent="0.25">
      <c r="A31" s="87"/>
      <c r="B31" s="162"/>
      <c r="C31" s="163"/>
      <c r="D31" s="163"/>
    </row>
    <row r="32" spans="1:4" x14ac:dyDescent="0.25">
      <c r="A32" s="87"/>
      <c r="B32" s="162"/>
      <c r="C32" s="163"/>
      <c r="D32" s="163"/>
    </row>
    <row r="33" spans="1:4" x14ac:dyDescent="0.25">
      <c r="A33" s="87"/>
      <c r="B33" s="162"/>
      <c r="C33" s="163"/>
      <c r="D33" s="163"/>
    </row>
    <row r="34" spans="1:4" x14ac:dyDescent="0.25">
      <c r="A34" s="87"/>
      <c r="B34" s="162"/>
      <c r="C34" s="163"/>
      <c r="D34" s="163"/>
    </row>
    <row r="35" spans="1:4" x14ac:dyDescent="0.25">
      <c r="A35" s="87"/>
      <c r="B35" s="162"/>
      <c r="C35" s="163"/>
      <c r="D35" s="163"/>
    </row>
    <row r="36" spans="1:4" x14ac:dyDescent="0.25">
      <c r="A36" s="87"/>
      <c r="B36" s="162"/>
      <c r="C36" s="163"/>
      <c r="D36" s="163"/>
    </row>
    <row r="37" spans="1:4" x14ac:dyDescent="0.25">
      <c r="A37" s="87"/>
      <c r="B37" s="162"/>
      <c r="C37" s="163"/>
      <c r="D37" s="163"/>
    </row>
    <row r="38" spans="1:4" x14ac:dyDescent="0.25">
      <c r="A38" s="87"/>
      <c r="B38" s="162"/>
      <c r="C38" s="163"/>
      <c r="D38" s="163"/>
    </row>
    <row r="39" spans="1:4" x14ac:dyDescent="0.25">
      <c r="A39" s="87"/>
      <c r="B39" s="162"/>
      <c r="C39" s="163"/>
      <c r="D39" s="163"/>
    </row>
    <row r="40" spans="1:4" x14ac:dyDescent="0.25">
      <c r="A40" s="87"/>
      <c r="B40" s="162"/>
      <c r="C40" s="163"/>
      <c r="D40" s="163"/>
    </row>
    <row r="41" spans="1:4" x14ac:dyDescent="0.25">
      <c r="A41" s="87"/>
      <c r="B41" s="162"/>
      <c r="C41" s="163"/>
      <c r="D41" s="163"/>
    </row>
    <row r="42" spans="1:4" x14ac:dyDescent="0.25">
      <c r="A42" s="87"/>
      <c r="B42" s="162"/>
      <c r="C42" s="163"/>
      <c r="D42" s="163"/>
    </row>
    <row r="43" spans="1:4" x14ac:dyDescent="0.25">
      <c r="A43" s="87"/>
      <c r="B43" s="162"/>
      <c r="C43" s="163"/>
      <c r="D43" s="163"/>
    </row>
    <row r="44" spans="1:4" x14ac:dyDescent="0.25">
      <c r="A44" s="87"/>
      <c r="B44" s="162"/>
      <c r="C44" s="163"/>
      <c r="D44" s="163"/>
    </row>
    <row r="45" spans="1:4" x14ac:dyDescent="0.25">
      <c r="A45" s="87"/>
      <c r="B45" s="162"/>
      <c r="C45" s="163"/>
      <c r="D45" s="163"/>
    </row>
    <row r="46" spans="1:4" x14ac:dyDescent="0.25">
      <c r="A46" s="87"/>
      <c r="B46" s="162"/>
      <c r="C46" s="163"/>
      <c r="D46" s="163"/>
    </row>
    <row r="47" spans="1:4" x14ac:dyDescent="0.25">
      <c r="A47" s="87"/>
      <c r="B47" s="162"/>
      <c r="C47" s="163"/>
      <c r="D47" s="163"/>
    </row>
    <row r="49" spans="1:9" x14ac:dyDescent="0.25">
      <c r="A49" t="s">
        <v>123</v>
      </c>
    </row>
    <row r="50" spans="1:9" x14ac:dyDescent="0.25">
      <c r="A50" t="s">
        <v>116</v>
      </c>
    </row>
    <row r="51" spans="1:9" x14ac:dyDescent="0.25">
      <c r="B51" s="58">
        <v>-30</v>
      </c>
      <c r="C51" s="58">
        <v>-20</v>
      </c>
      <c r="D51" s="58">
        <v>-10</v>
      </c>
      <c r="E51" s="58">
        <v>0</v>
      </c>
      <c r="F51" s="58">
        <v>10</v>
      </c>
      <c r="G51" s="58">
        <v>20</v>
      </c>
      <c r="H51" s="58">
        <v>30</v>
      </c>
    </row>
    <row r="52" spans="1:9" ht="15.75" thickBot="1" x14ac:dyDescent="0.3">
      <c r="A52" s="6" t="s">
        <v>46</v>
      </c>
    </row>
    <row r="53" spans="1:9" ht="15.75" thickBot="1" x14ac:dyDescent="0.3">
      <c r="A53" s="28"/>
      <c r="B53" s="45">
        <v>-0.3</v>
      </c>
      <c r="C53" s="45">
        <v>-0.2</v>
      </c>
      <c r="D53" s="45">
        <v>-0.1</v>
      </c>
      <c r="E53" s="46" t="s">
        <v>59</v>
      </c>
      <c r="F53" s="45">
        <v>0.1</v>
      </c>
      <c r="G53" s="45">
        <v>0.2</v>
      </c>
      <c r="H53" s="45">
        <v>0.3</v>
      </c>
      <c r="I53" s="47" t="s">
        <v>62</v>
      </c>
    </row>
    <row r="54" spans="1:9" x14ac:dyDescent="0.25">
      <c r="A54" s="48" t="s">
        <v>46</v>
      </c>
      <c r="B54" s="50">
        <f>E54*0.7</f>
        <v>0.26599999999999996</v>
      </c>
      <c r="C54" s="27">
        <f>E54*0.8</f>
        <v>0.30400000000000005</v>
      </c>
      <c r="D54" s="27">
        <f>E54*0.9</f>
        <v>0.34200000000000003</v>
      </c>
      <c r="E54" s="43">
        <f>B9</f>
        <v>0.38</v>
      </c>
      <c r="F54" s="27">
        <f>E54*1.1</f>
        <v>0.41800000000000004</v>
      </c>
      <c r="G54" s="27">
        <f>E54*1.2</f>
        <v>0.45599999999999996</v>
      </c>
      <c r="H54" s="27">
        <f>E54*1.3</f>
        <v>0.49400000000000005</v>
      </c>
      <c r="I54" s="44" t="s">
        <v>14</v>
      </c>
    </row>
    <row r="55" spans="1:9" x14ac:dyDescent="0.25">
      <c r="A55" s="105" t="s">
        <v>15</v>
      </c>
      <c r="B55" s="26">
        <f t="shared" ref="B55:H55" si="0">$B$10</f>
        <v>0.18</v>
      </c>
      <c r="C55" s="26">
        <f t="shared" si="0"/>
        <v>0.18</v>
      </c>
      <c r="D55" s="26">
        <f t="shared" si="0"/>
        <v>0.18</v>
      </c>
      <c r="E55" s="35">
        <f t="shared" si="0"/>
        <v>0.18</v>
      </c>
      <c r="F55" s="26">
        <f t="shared" si="0"/>
        <v>0.18</v>
      </c>
      <c r="G55" s="26">
        <f t="shared" si="0"/>
        <v>0.18</v>
      </c>
      <c r="H55" s="26">
        <f t="shared" si="0"/>
        <v>0.18</v>
      </c>
      <c r="I55" s="44" t="s">
        <v>14</v>
      </c>
    </row>
    <row r="56" spans="1:9" x14ac:dyDescent="0.25">
      <c r="A56" s="106" t="s">
        <v>45</v>
      </c>
      <c r="B56" s="26">
        <f>B54+B55</f>
        <v>0.44599999999999995</v>
      </c>
      <c r="C56" s="26">
        <f t="shared" ref="C56:H56" si="1">C54+C55</f>
        <v>0.48400000000000004</v>
      </c>
      <c r="D56" s="26">
        <f t="shared" si="1"/>
        <v>0.52200000000000002</v>
      </c>
      <c r="E56" s="35">
        <f t="shared" si="1"/>
        <v>0.56000000000000005</v>
      </c>
      <c r="F56" s="26">
        <f t="shared" si="1"/>
        <v>0.59800000000000009</v>
      </c>
      <c r="G56" s="26">
        <f t="shared" si="1"/>
        <v>0.6359999999999999</v>
      </c>
      <c r="H56" s="26">
        <f t="shared" si="1"/>
        <v>0.67400000000000004</v>
      </c>
      <c r="I56" s="44" t="s">
        <v>14</v>
      </c>
    </row>
    <row r="57" spans="1:9" x14ac:dyDescent="0.25">
      <c r="A57" s="105" t="s">
        <v>42</v>
      </c>
      <c r="B57" s="31">
        <f t="shared" ref="B57:H57" si="2">$B$19</f>
        <v>0.48302558143321828</v>
      </c>
      <c r="C57" s="31">
        <f t="shared" si="2"/>
        <v>0.48302558143321828</v>
      </c>
      <c r="D57" s="31">
        <f t="shared" si="2"/>
        <v>0.48302558143321828</v>
      </c>
      <c r="E57" s="51">
        <f t="shared" si="2"/>
        <v>0.48302558143321828</v>
      </c>
      <c r="F57" s="31">
        <f t="shared" si="2"/>
        <v>0.48302558143321828</v>
      </c>
      <c r="G57" s="31">
        <f t="shared" si="2"/>
        <v>0.48302558143321828</v>
      </c>
      <c r="H57" s="31">
        <f t="shared" si="2"/>
        <v>0.48302558143321828</v>
      </c>
      <c r="I57" s="44" t="s">
        <v>14</v>
      </c>
    </row>
    <row r="58" spans="1:9" ht="30" x14ac:dyDescent="0.25">
      <c r="A58" s="138" t="s">
        <v>95</v>
      </c>
      <c r="B58" s="183">
        <f>B56-B57</f>
        <v>-3.7025581433218324E-2</v>
      </c>
      <c r="C58" s="183">
        <f t="shared" ref="C58:H58" si="3">C56-C57</f>
        <v>9.7441856678176508E-4</v>
      </c>
      <c r="D58" s="183">
        <f t="shared" si="3"/>
        <v>3.8974418566781743E-2</v>
      </c>
      <c r="E58" s="184">
        <f t="shared" si="3"/>
        <v>7.6974418566781777E-2</v>
      </c>
      <c r="F58" s="183">
        <f t="shared" si="3"/>
        <v>0.11497441856678181</v>
      </c>
      <c r="G58" s="183">
        <f t="shared" si="3"/>
        <v>0.15297441856678162</v>
      </c>
      <c r="H58" s="183">
        <f t="shared" si="3"/>
        <v>0.19097441856678177</v>
      </c>
      <c r="I58" s="185" t="s">
        <v>14</v>
      </c>
    </row>
    <row r="59" spans="1:9" x14ac:dyDescent="0.25">
      <c r="A59" s="106" t="s">
        <v>114</v>
      </c>
      <c r="B59" s="53">
        <f t="shared" ref="B59:H59" si="4">B58*$B$7</f>
        <v>-16.661511644948245</v>
      </c>
      <c r="C59" s="53">
        <f t="shared" si="4"/>
        <v>0.43848835505179429</v>
      </c>
      <c r="D59" s="53">
        <f t="shared" si="4"/>
        <v>17.538488355051783</v>
      </c>
      <c r="E59" s="37">
        <f t="shared" si="4"/>
        <v>34.638488355051798</v>
      </c>
      <c r="F59" s="53">
        <f t="shared" si="4"/>
        <v>51.738488355051814</v>
      </c>
      <c r="G59" s="53">
        <f t="shared" si="4"/>
        <v>68.838488355051737</v>
      </c>
      <c r="H59" s="53">
        <f t="shared" si="4"/>
        <v>85.938488355051788</v>
      </c>
      <c r="I59" s="38" t="s">
        <v>39</v>
      </c>
    </row>
    <row r="60" spans="1:9" ht="15.75" thickBot="1" x14ac:dyDescent="0.3">
      <c r="A60" s="107" t="s">
        <v>115</v>
      </c>
      <c r="B60" s="39">
        <f t="shared" ref="B60:H60" si="5">B59*$B$14</f>
        <v>-333.23023289896491</v>
      </c>
      <c r="C60" s="39">
        <f t="shared" si="5"/>
        <v>8.7697671010358853</v>
      </c>
      <c r="D60" s="39">
        <f t="shared" si="5"/>
        <v>350.76976710103565</v>
      </c>
      <c r="E60" s="40">
        <f t="shared" si="5"/>
        <v>692.769767101036</v>
      </c>
      <c r="F60" s="39">
        <f t="shared" si="5"/>
        <v>1034.7697671010362</v>
      </c>
      <c r="G60" s="39">
        <f t="shared" si="5"/>
        <v>1376.7697671010346</v>
      </c>
      <c r="H60" s="39">
        <f t="shared" si="5"/>
        <v>1718.7697671010358</v>
      </c>
      <c r="I60" s="41" t="s">
        <v>39</v>
      </c>
    </row>
    <row r="62" spans="1:9" ht="15.75" thickBot="1" x14ac:dyDescent="0.3">
      <c r="A62" s="6" t="s">
        <v>45</v>
      </c>
    </row>
    <row r="63" spans="1:9" ht="15.75" thickBot="1" x14ac:dyDescent="0.3">
      <c r="A63" s="28"/>
      <c r="B63" s="45">
        <v>-0.3</v>
      </c>
      <c r="C63" s="45">
        <v>-0.2</v>
      </c>
      <c r="D63" s="45">
        <v>-0.1</v>
      </c>
      <c r="E63" s="46" t="s">
        <v>59</v>
      </c>
      <c r="F63" s="45">
        <v>0.1</v>
      </c>
      <c r="G63" s="45">
        <v>0.2</v>
      </c>
      <c r="H63" s="45">
        <v>0.3</v>
      </c>
      <c r="I63" s="47" t="s">
        <v>62</v>
      </c>
    </row>
    <row r="64" spans="1:9" x14ac:dyDescent="0.25">
      <c r="A64" s="48" t="s">
        <v>46</v>
      </c>
      <c r="B64" s="50">
        <f>E64*0.7</f>
        <v>0.26599999999999996</v>
      </c>
      <c r="C64" s="27">
        <f>E64*0.8</f>
        <v>0.30400000000000005</v>
      </c>
      <c r="D64" s="27">
        <f>E64*0.9</f>
        <v>0.34200000000000003</v>
      </c>
      <c r="E64" s="43">
        <f>B9</f>
        <v>0.38</v>
      </c>
      <c r="F64" s="27">
        <f>E64*1.1</f>
        <v>0.41800000000000004</v>
      </c>
      <c r="G64" s="27">
        <f>E64*1.2</f>
        <v>0.45599999999999996</v>
      </c>
      <c r="H64" s="27">
        <f>E64*1.3</f>
        <v>0.49400000000000005</v>
      </c>
      <c r="I64" s="44" t="s">
        <v>14</v>
      </c>
    </row>
    <row r="65" spans="1:9" x14ac:dyDescent="0.25">
      <c r="A65" s="48" t="s">
        <v>15</v>
      </c>
      <c r="B65" s="26">
        <f>E65*0.7</f>
        <v>0.126</v>
      </c>
      <c r="C65" s="26">
        <f>E65*0.8</f>
        <v>0.14399999999999999</v>
      </c>
      <c r="D65" s="26">
        <f>E65*0.9</f>
        <v>0.16200000000000001</v>
      </c>
      <c r="E65" s="35">
        <f>B10</f>
        <v>0.18</v>
      </c>
      <c r="F65" s="26">
        <f>E65*1.1</f>
        <v>0.19800000000000001</v>
      </c>
      <c r="G65" s="26">
        <f>E65*1.2</f>
        <v>0.216</v>
      </c>
      <c r="H65" s="26">
        <f>E65*1.3</f>
        <v>0.23399999999999999</v>
      </c>
      <c r="I65" s="44" t="s">
        <v>14</v>
      </c>
    </row>
    <row r="66" spans="1:9" x14ac:dyDescent="0.25">
      <c r="A66" s="30" t="s">
        <v>45</v>
      </c>
      <c r="B66" s="26">
        <f>B64+B65</f>
        <v>0.39199999999999996</v>
      </c>
      <c r="C66" s="26">
        <f t="shared" ref="C66" si="6">C64+C65</f>
        <v>0.44800000000000006</v>
      </c>
      <c r="D66" s="26">
        <f t="shared" ref="D66" si="7">D64+D65</f>
        <v>0.504</v>
      </c>
      <c r="E66" s="35">
        <f t="shared" ref="E66" si="8">E64+E65</f>
        <v>0.56000000000000005</v>
      </c>
      <c r="F66" s="26">
        <f t="shared" ref="F66" si="9">F64+F65</f>
        <v>0.6160000000000001</v>
      </c>
      <c r="G66" s="26">
        <f t="shared" ref="G66" si="10">G64+G65</f>
        <v>0.67199999999999993</v>
      </c>
      <c r="H66" s="26">
        <f t="shared" ref="H66" si="11">H64+H65</f>
        <v>0.72799999999999998</v>
      </c>
      <c r="I66" s="44" t="s">
        <v>14</v>
      </c>
    </row>
    <row r="67" spans="1:9" x14ac:dyDescent="0.25">
      <c r="A67" s="105" t="s">
        <v>42</v>
      </c>
      <c r="B67" s="31">
        <f>'Beregningsmetode 1'!$C$10</f>
        <v>0.48302558143321828</v>
      </c>
      <c r="C67" s="31">
        <f>'Beregningsmetode 1'!$C$10</f>
        <v>0.48302558143321828</v>
      </c>
      <c r="D67" s="31">
        <f>'Beregningsmetode 1'!$C$10</f>
        <v>0.48302558143321828</v>
      </c>
      <c r="E67" s="51">
        <f>'Beregningsmetode 1'!$C$10</f>
        <v>0.48302558143321828</v>
      </c>
      <c r="F67" s="31">
        <f>'Beregningsmetode 1'!$C$10</f>
        <v>0.48302558143321828</v>
      </c>
      <c r="G67" s="31">
        <f>'Beregningsmetode 1'!$C$10</f>
        <v>0.48302558143321828</v>
      </c>
      <c r="H67" s="31">
        <f>'Beregningsmetode 1'!$C$10</f>
        <v>0.48302558143321828</v>
      </c>
      <c r="I67" s="44" t="s">
        <v>14</v>
      </c>
    </row>
    <row r="68" spans="1:9" ht="30" x14ac:dyDescent="0.25">
      <c r="A68" s="138" t="s">
        <v>95</v>
      </c>
      <c r="B68" s="183">
        <f>B66-B67</f>
        <v>-9.1025581433218317E-2</v>
      </c>
      <c r="C68" s="183">
        <f t="shared" ref="C68" si="12">C66-C67</f>
        <v>-3.5025581433218211E-2</v>
      </c>
      <c r="D68" s="183">
        <f t="shared" ref="D68" si="13">D66-D67</f>
        <v>2.0974418566781727E-2</v>
      </c>
      <c r="E68" s="184">
        <f t="shared" ref="E68" si="14">E66-E67</f>
        <v>7.6974418566781777E-2</v>
      </c>
      <c r="F68" s="183">
        <f t="shared" ref="F68" si="15">F66-F67</f>
        <v>0.13297441856678183</v>
      </c>
      <c r="G68" s="183">
        <f t="shared" ref="G68" si="16">G66-G67</f>
        <v>0.18897441856678165</v>
      </c>
      <c r="H68" s="183">
        <f t="shared" ref="H68" si="17">H66-H67</f>
        <v>0.2449744185667817</v>
      </c>
      <c r="I68" s="185" t="s">
        <v>14</v>
      </c>
    </row>
    <row r="69" spans="1:9" x14ac:dyDescent="0.25">
      <c r="A69" s="106" t="s">
        <v>114</v>
      </c>
      <c r="B69" s="53">
        <f t="shared" ref="B69:H69" si="18">B68*$B$7</f>
        <v>-40.961511644948246</v>
      </c>
      <c r="C69" s="53">
        <f t="shared" si="18"/>
        <v>-15.761511644948195</v>
      </c>
      <c r="D69" s="53">
        <f t="shared" si="18"/>
        <v>9.4384883550517777</v>
      </c>
      <c r="E69" s="37">
        <f t="shared" si="18"/>
        <v>34.638488355051798</v>
      </c>
      <c r="F69" s="53">
        <f t="shared" si="18"/>
        <v>59.838488355051823</v>
      </c>
      <c r="G69" s="53">
        <f t="shared" si="18"/>
        <v>85.03848835505174</v>
      </c>
      <c r="H69" s="53">
        <f t="shared" si="18"/>
        <v>110.23848835505177</v>
      </c>
      <c r="I69" s="38" t="s">
        <v>39</v>
      </c>
    </row>
    <row r="70" spans="1:9" ht="15.75" thickBot="1" x14ac:dyDescent="0.3">
      <c r="A70" s="107" t="s">
        <v>115</v>
      </c>
      <c r="B70" s="39">
        <f t="shared" ref="B70:H70" si="19">B69*$B$14</f>
        <v>-819.23023289896491</v>
      </c>
      <c r="C70" s="39">
        <f t="shared" si="19"/>
        <v>-315.23023289896389</v>
      </c>
      <c r="D70" s="39">
        <f t="shared" si="19"/>
        <v>188.76976710103554</v>
      </c>
      <c r="E70" s="40">
        <f t="shared" si="19"/>
        <v>692.769767101036</v>
      </c>
      <c r="F70" s="39">
        <f t="shared" si="19"/>
        <v>1196.7697671010365</v>
      </c>
      <c r="G70" s="39">
        <f t="shared" si="19"/>
        <v>1700.7697671010349</v>
      </c>
      <c r="H70" s="39">
        <f t="shared" si="19"/>
        <v>2204.7697671010355</v>
      </c>
      <c r="I70" s="41" t="s">
        <v>39</v>
      </c>
    </row>
    <row r="72" spans="1:9" ht="15.75" thickBot="1" x14ac:dyDescent="0.3">
      <c r="A72" s="2" t="s">
        <v>58</v>
      </c>
    </row>
    <row r="73" spans="1:9" ht="15.75" thickBot="1" x14ac:dyDescent="0.3">
      <c r="A73" s="28"/>
      <c r="B73" s="52">
        <v>-0.3</v>
      </c>
      <c r="C73" s="45">
        <v>-0.2</v>
      </c>
      <c r="D73" s="45">
        <v>-0.1</v>
      </c>
      <c r="E73" s="46" t="s">
        <v>59</v>
      </c>
      <c r="F73" s="45">
        <v>0.1</v>
      </c>
      <c r="G73" s="45">
        <v>0.2</v>
      </c>
      <c r="H73" s="45">
        <v>0.3</v>
      </c>
      <c r="I73" s="47" t="s">
        <v>62</v>
      </c>
    </row>
    <row r="74" spans="1:9" x14ac:dyDescent="0.25">
      <c r="A74" s="48" t="s">
        <v>58</v>
      </c>
      <c r="B74" s="49">
        <f>E74*0.7</f>
        <v>2100</v>
      </c>
      <c r="C74" s="42">
        <f>E74*0.8</f>
        <v>2400</v>
      </c>
      <c r="D74" s="42">
        <f>E74*0.9</f>
        <v>2700</v>
      </c>
      <c r="E74" s="43">
        <f>B8</f>
        <v>3000</v>
      </c>
      <c r="F74" s="42">
        <f>E74*1.1</f>
        <v>3300.0000000000005</v>
      </c>
      <c r="G74" s="42">
        <f>E74*1.2</f>
        <v>3600</v>
      </c>
      <c r="H74" s="42">
        <f>E74*1.3</f>
        <v>3900</v>
      </c>
      <c r="I74" s="44" t="s">
        <v>41</v>
      </c>
    </row>
    <row r="75" spans="1:9" x14ac:dyDescent="0.25">
      <c r="A75" s="30" t="s">
        <v>30</v>
      </c>
      <c r="B75" s="33">
        <f>E75*0.7</f>
        <v>315</v>
      </c>
      <c r="C75" s="33">
        <f>E75*0.8</f>
        <v>360</v>
      </c>
      <c r="D75" s="33">
        <f>E75*0.9</f>
        <v>405</v>
      </c>
      <c r="E75" s="34">
        <f>(B6*E74)/1000</f>
        <v>450</v>
      </c>
      <c r="F75" s="33">
        <f>E75*1.1</f>
        <v>495.00000000000006</v>
      </c>
      <c r="G75" s="33">
        <f>E75*1.2</f>
        <v>540</v>
      </c>
      <c r="H75" s="33">
        <f>E75*1.3</f>
        <v>585</v>
      </c>
      <c r="I75" s="38" t="s">
        <v>98</v>
      </c>
    </row>
    <row r="76" spans="1:9" x14ac:dyDescent="0.25">
      <c r="A76" s="106" t="s">
        <v>112</v>
      </c>
      <c r="B76" s="29">
        <f t="shared" ref="B76:H76" si="20">(($B$16*1000000)/(B75*1000))/1000</f>
        <v>0.51860797347602616</v>
      </c>
      <c r="C76" s="29">
        <f t="shared" si="20"/>
        <v>0.45378197679152288</v>
      </c>
      <c r="D76" s="29">
        <f t="shared" si="20"/>
        <v>0.40336175714802031</v>
      </c>
      <c r="E76" s="35">
        <f t="shared" si="20"/>
        <v>0.36302558143321828</v>
      </c>
      <c r="F76" s="29">
        <f t="shared" si="20"/>
        <v>0.33002325584838027</v>
      </c>
      <c r="G76" s="29">
        <f t="shared" si="20"/>
        <v>0.30252131786101527</v>
      </c>
      <c r="H76" s="29">
        <f t="shared" si="20"/>
        <v>0.27925044725632175</v>
      </c>
      <c r="I76" s="38" t="s">
        <v>14</v>
      </c>
    </row>
    <row r="77" spans="1:9" x14ac:dyDescent="0.25">
      <c r="A77" s="106" t="s">
        <v>99</v>
      </c>
      <c r="B77" s="33">
        <f t="shared" ref="B77:H77" si="21">$B$18</f>
        <v>0.12</v>
      </c>
      <c r="C77" s="33">
        <f t="shared" si="21"/>
        <v>0.12</v>
      </c>
      <c r="D77" s="33">
        <f t="shared" si="21"/>
        <v>0.12</v>
      </c>
      <c r="E77" s="34">
        <f t="shared" si="21"/>
        <v>0.12</v>
      </c>
      <c r="F77" s="33">
        <f t="shared" si="21"/>
        <v>0.12</v>
      </c>
      <c r="G77" s="33">
        <f t="shared" si="21"/>
        <v>0.12</v>
      </c>
      <c r="H77" s="33">
        <f t="shared" si="21"/>
        <v>0.12</v>
      </c>
      <c r="I77" s="38" t="s">
        <v>14</v>
      </c>
    </row>
    <row r="78" spans="1:9" ht="30" x14ac:dyDescent="0.25">
      <c r="A78" s="138" t="s">
        <v>100</v>
      </c>
      <c r="B78" s="191">
        <f>B76+B77</f>
        <v>0.63860797347602616</v>
      </c>
      <c r="C78" s="191">
        <f t="shared" ref="C78:D78" si="22">C76+C77</f>
        <v>0.57378197679152287</v>
      </c>
      <c r="D78" s="191">
        <f t="shared" si="22"/>
        <v>0.52336175714802025</v>
      </c>
      <c r="E78" s="184">
        <f>E76+E77</f>
        <v>0.48302558143321828</v>
      </c>
      <c r="F78" s="191">
        <f t="shared" ref="F78:H78" si="23">F76+F77</f>
        <v>0.45002325584838027</v>
      </c>
      <c r="G78" s="191">
        <f t="shared" si="23"/>
        <v>0.42252131786101527</v>
      </c>
      <c r="H78" s="191">
        <f t="shared" si="23"/>
        <v>0.39925044725632175</v>
      </c>
      <c r="I78" s="185" t="s">
        <v>14</v>
      </c>
    </row>
    <row r="79" spans="1:9" x14ac:dyDescent="0.25">
      <c r="A79" s="106" t="s">
        <v>45</v>
      </c>
      <c r="B79" s="26">
        <f t="shared" ref="B79:H79" si="24">$B$11</f>
        <v>0.56000000000000005</v>
      </c>
      <c r="C79" s="26">
        <f t="shared" si="24"/>
        <v>0.56000000000000005</v>
      </c>
      <c r="D79" s="26">
        <f t="shared" si="24"/>
        <v>0.56000000000000005</v>
      </c>
      <c r="E79" s="35">
        <f t="shared" si="24"/>
        <v>0.56000000000000005</v>
      </c>
      <c r="F79" s="26">
        <f t="shared" si="24"/>
        <v>0.56000000000000005</v>
      </c>
      <c r="G79" s="26">
        <f t="shared" si="24"/>
        <v>0.56000000000000005</v>
      </c>
      <c r="H79" s="26">
        <f t="shared" si="24"/>
        <v>0.56000000000000005</v>
      </c>
      <c r="I79" s="38" t="s">
        <v>14</v>
      </c>
    </row>
    <row r="80" spans="1:9" ht="30" x14ac:dyDescent="0.25">
      <c r="A80" s="138" t="s">
        <v>119</v>
      </c>
      <c r="B80" s="183">
        <f>B79-B78</f>
        <v>-7.8607973476026105E-2</v>
      </c>
      <c r="C80" s="183">
        <f t="shared" ref="C80:H80" si="25">C79-C78</f>
        <v>-1.3781976791522821E-2</v>
      </c>
      <c r="D80" s="183">
        <f t="shared" si="25"/>
        <v>3.6638242851979808E-2</v>
      </c>
      <c r="E80" s="184">
        <f t="shared" si="25"/>
        <v>7.6974418566781777E-2</v>
      </c>
      <c r="F80" s="183">
        <f t="shared" si="25"/>
        <v>0.10997674415161979</v>
      </c>
      <c r="G80" s="183">
        <f t="shared" si="25"/>
        <v>0.13747868213898479</v>
      </c>
      <c r="H80" s="183">
        <f t="shared" si="25"/>
        <v>0.1607495527436783</v>
      </c>
      <c r="I80" s="185" t="s">
        <v>14</v>
      </c>
    </row>
    <row r="81" spans="1:9" x14ac:dyDescent="0.25">
      <c r="A81" s="106" t="s">
        <v>114</v>
      </c>
      <c r="B81" s="36">
        <f>B80*B75</f>
        <v>-24.761511644948222</v>
      </c>
      <c r="C81" s="36">
        <f t="shared" ref="C81:H81" si="26">C80*C75</f>
        <v>-4.9615116449482155</v>
      </c>
      <c r="D81" s="36">
        <f t="shared" si="26"/>
        <v>14.838488355051823</v>
      </c>
      <c r="E81" s="37">
        <f t="shared" si="26"/>
        <v>34.638488355051798</v>
      </c>
      <c r="F81" s="36">
        <f t="shared" si="26"/>
        <v>54.438488355051803</v>
      </c>
      <c r="G81" s="36">
        <f t="shared" si="26"/>
        <v>74.238488355051786</v>
      </c>
      <c r="H81" s="36">
        <f t="shared" si="26"/>
        <v>94.038488355051811</v>
      </c>
      <c r="I81" s="38" t="s">
        <v>39</v>
      </c>
    </row>
    <row r="82" spans="1:9" ht="15.75" thickBot="1" x14ac:dyDescent="0.3">
      <c r="A82" s="107" t="s">
        <v>115</v>
      </c>
      <c r="B82" s="39">
        <f t="shared" ref="B82:H82" si="27">B81*$B$14</f>
        <v>-495.23023289896446</v>
      </c>
      <c r="C82" s="39">
        <f t="shared" si="27"/>
        <v>-99.230232898964317</v>
      </c>
      <c r="D82" s="39">
        <f t="shared" si="27"/>
        <v>296.76976710103645</v>
      </c>
      <c r="E82" s="40">
        <f t="shared" si="27"/>
        <v>692.769767101036</v>
      </c>
      <c r="F82" s="39">
        <f t="shared" si="27"/>
        <v>1088.769767101036</v>
      </c>
      <c r="G82" s="39">
        <f t="shared" si="27"/>
        <v>1484.7697671010358</v>
      </c>
      <c r="H82" s="39">
        <f t="shared" si="27"/>
        <v>1880.7697671010362</v>
      </c>
      <c r="I82" s="41" t="s">
        <v>39</v>
      </c>
    </row>
    <row r="84" spans="1:9" ht="15.75" thickBot="1" x14ac:dyDescent="0.3">
      <c r="A84" s="6" t="s">
        <v>122</v>
      </c>
    </row>
    <row r="85" spans="1:9" ht="15.75" thickBot="1" x14ac:dyDescent="0.3">
      <c r="A85" s="28"/>
      <c r="B85" s="45">
        <v>-0.3</v>
      </c>
      <c r="C85" s="45">
        <v>-0.2</v>
      </c>
      <c r="D85" s="45">
        <v>-0.1</v>
      </c>
      <c r="E85" s="46" t="s">
        <v>59</v>
      </c>
      <c r="F85" s="45">
        <v>0.1</v>
      </c>
      <c r="G85" s="45">
        <v>0.2</v>
      </c>
      <c r="H85" s="45">
        <v>0.3</v>
      </c>
      <c r="I85" s="47" t="s">
        <v>62</v>
      </c>
    </row>
    <row r="86" spans="1:9" ht="30" x14ac:dyDescent="0.25">
      <c r="A86" s="186" t="s">
        <v>124</v>
      </c>
      <c r="B86" s="187">
        <f>E86*0.7</f>
        <v>8.3999999999999991E-2</v>
      </c>
      <c r="C86" s="188">
        <f>E86*0.8</f>
        <v>9.6000000000000002E-2</v>
      </c>
      <c r="D86" s="188">
        <f>E86*0.9</f>
        <v>0.108</v>
      </c>
      <c r="E86" s="189">
        <f>B18</f>
        <v>0.12</v>
      </c>
      <c r="F86" s="188">
        <f>E86*1.1</f>
        <v>0.13200000000000001</v>
      </c>
      <c r="G86" s="188">
        <f>E86*1.2</f>
        <v>0.14399999999999999</v>
      </c>
      <c r="H86" s="188">
        <f>E86*1.3</f>
        <v>0.156</v>
      </c>
      <c r="I86" s="190" t="s">
        <v>14</v>
      </c>
    </row>
    <row r="87" spans="1:9" x14ac:dyDescent="0.25">
      <c r="A87" s="105" t="s">
        <v>112</v>
      </c>
      <c r="B87" s="29">
        <f t="shared" ref="B87:H87" si="28">$B$17</f>
        <v>0.36302558143321828</v>
      </c>
      <c r="C87" s="29">
        <f t="shared" si="28"/>
        <v>0.36302558143321828</v>
      </c>
      <c r="D87" s="29">
        <f t="shared" si="28"/>
        <v>0.36302558143321828</v>
      </c>
      <c r="E87" s="35">
        <f t="shared" si="28"/>
        <v>0.36302558143321828</v>
      </c>
      <c r="F87" s="29">
        <f t="shared" si="28"/>
        <v>0.36302558143321828</v>
      </c>
      <c r="G87" s="29">
        <f t="shared" si="28"/>
        <v>0.36302558143321828</v>
      </c>
      <c r="H87" s="29">
        <f t="shared" si="28"/>
        <v>0.36302558143321828</v>
      </c>
      <c r="I87" s="44" t="s">
        <v>14</v>
      </c>
    </row>
    <row r="88" spans="1:9" ht="30" x14ac:dyDescent="0.25">
      <c r="A88" s="139" t="s">
        <v>100</v>
      </c>
      <c r="B88" s="192">
        <f>B86+B87</f>
        <v>0.44702558143321824</v>
      </c>
      <c r="C88" s="192">
        <f t="shared" ref="C88:H88" si="29">C86+C87</f>
        <v>0.45902558143321825</v>
      </c>
      <c r="D88" s="192">
        <f t="shared" si="29"/>
        <v>0.47102558143321827</v>
      </c>
      <c r="E88" s="193">
        <f t="shared" si="29"/>
        <v>0.48302558143321828</v>
      </c>
      <c r="F88" s="192">
        <f t="shared" si="29"/>
        <v>0.49502558143321829</v>
      </c>
      <c r="G88" s="192">
        <f t="shared" si="29"/>
        <v>0.5070255814332183</v>
      </c>
      <c r="H88" s="192">
        <f t="shared" si="29"/>
        <v>0.51902558143321831</v>
      </c>
      <c r="I88" s="190" t="s">
        <v>14</v>
      </c>
    </row>
    <row r="89" spans="1:9" x14ac:dyDescent="0.25">
      <c r="A89" s="106" t="s">
        <v>45</v>
      </c>
      <c r="B89" s="29">
        <f t="shared" ref="B89:H89" si="30">$B$11</f>
        <v>0.56000000000000005</v>
      </c>
      <c r="C89" s="29">
        <f t="shared" si="30"/>
        <v>0.56000000000000005</v>
      </c>
      <c r="D89" s="29">
        <f t="shared" si="30"/>
        <v>0.56000000000000005</v>
      </c>
      <c r="E89" s="35">
        <f t="shared" si="30"/>
        <v>0.56000000000000005</v>
      </c>
      <c r="F89" s="29">
        <f t="shared" si="30"/>
        <v>0.56000000000000005</v>
      </c>
      <c r="G89" s="29">
        <f t="shared" si="30"/>
        <v>0.56000000000000005</v>
      </c>
      <c r="H89" s="29">
        <f t="shared" si="30"/>
        <v>0.56000000000000005</v>
      </c>
      <c r="I89" s="44" t="s">
        <v>14</v>
      </c>
    </row>
    <row r="90" spans="1:9" ht="30" x14ac:dyDescent="0.25">
      <c r="A90" s="138" t="s">
        <v>119</v>
      </c>
      <c r="B90" s="183">
        <f t="shared" ref="B90:H90" si="31">B89-B88</f>
        <v>0.11297441856678181</v>
      </c>
      <c r="C90" s="183">
        <f t="shared" si="31"/>
        <v>0.1009744185667818</v>
      </c>
      <c r="D90" s="183">
        <f t="shared" si="31"/>
        <v>8.8974418566781788E-2</v>
      </c>
      <c r="E90" s="184">
        <f t="shared" si="31"/>
        <v>7.6974418566781777E-2</v>
      </c>
      <c r="F90" s="183">
        <f t="shared" si="31"/>
        <v>6.4974418566781766E-2</v>
      </c>
      <c r="G90" s="183">
        <f t="shared" si="31"/>
        <v>5.2974418566781756E-2</v>
      </c>
      <c r="H90" s="183">
        <f t="shared" si="31"/>
        <v>4.0974418566781745E-2</v>
      </c>
      <c r="I90" s="185" t="s">
        <v>14</v>
      </c>
    </row>
    <row r="91" spans="1:9" x14ac:dyDescent="0.25">
      <c r="A91" s="106" t="s">
        <v>114</v>
      </c>
      <c r="B91" s="53">
        <f t="shared" ref="B91:H91" si="32">B90*$B$7</f>
        <v>50.838488355051815</v>
      </c>
      <c r="C91" s="53">
        <f t="shared" si="32"/>
        <v>45.43848835505181</v>
      </c>
      <c r="D91" s="53">
        <f t="shared" si="32"/>
        <v>40.038488355051804</v>
      </c>
      <c r="E91" s="37">
        <f t="shared" si="32"/>
        <v>34.638488355051798</v>
      </c>
      <c r="F91" s="53">
        <f t="shared" si="32"/>
        <v>29.238488355051796</v>
      </c>
      <c r="G91" s="53">
        <f t="shared" si="32"/>
        <v>23.838488355051791</v>
      </c>
      <c r="H91" s="53">
        <f t="shared" si="32"/>
        <v>18.438488355051785</v>
      </c>
      <c r="I91" s="38" t="s">
        <v>39</v>
      </c>
    </row>
    <row r="92" spans="1:9" ht="15.75" thickBot="1" x14ac:dyDescent="0.3">
      <c r="A92" s="107" t="s">
        <v>115</v>
      </c>
      <c r="B92" s="39">
        <f t="shared" ref="B92:H92" si="33">B91*$B$14</f>
        <v>1016.7697671010363</v>
      </c>
      <c r="C92" s="39">
        <f t="shared" si="33"/>
        <v>908.76976710103622</v>
      </c>
      <c r="D92" s="39">
        <f t="shared" si="33"/>
        <v>800.76976710103611</v>
      </c>
      <c r="E92" s="40">
        <f t="shared" si="33"/>
        <v>692.769767101036</v>
      </c>
      <c r="F92" s="39">
        <f t="shared" si="33"/>
        <v>584.76976710103588</v>
      </c>
      <c r="G92" s="39">
        <f t="shared" si="33"/>
        <v>476.76976710103582</v>
      </c>
      <c r="H92" s="39">
        <f t="shared" si="33"/>
        <v>368.76976710103571</v>
      </c>
      <c r="I92" s="41" t="s">
        <v>39</v>
      </c>
    </row>
    <row r="94" spans="1:9" ht="15.75" thickBot="1" x14ac:dyDescent="0.3">
      <c r="A94" s="6" t="s">
        <v>38</v>
      </c>
    </row>
    <row r="95" spans="1:9" ht="15.75" thickBot="1" x14ac:dyDescent="0.3">
      <c r="A95" s="28"/>
      <c r="B95" s="45">
        <v>-0.3</v>
      </c>
      <c r="C95" s="45">
        <v>-0.2</v>
      </c>
      <c r="D95" s="45">
        <v>-0.1</v>
      </c>
      <c r="E95" s="46" t="s">
        <v>59</v>
      </c>
      <c r="F95" s="45">
        <v>0.1</v>
      </c>
      <c r="G95" s="45">
        <v>0.2</v>
      </c>
      <c r="H95" s="45">
        <v>0.3</v>
      </c>
      <c r="I95" s="47" t="s">
        <v>62</v>
      </c>
    </row>
    <row r="96" spans="1:9" x14ac:dyDescent="0.25">
      <c r="A96" s="48" t="s">
        <v>38</v>
      </c>
      <c r="B96" s="50">
        <f>E96*0.7</f>
        <v>8.3999999999999986</v>
      </c>
      <c r="C96" s="27">
        <f>E96*0.8</f>
        <v>9.6000000000000014</v>
      </c>
      <c r="D96" s="27">
        <f>E96*0.9</f>
        <v>10.8</v>
      </c>
      <c r="E96" s="43">
        <f>B12</f>
        <v>12</v>
      </c>
      <c r="F96" s="27">
        <f>E96*1.1</f>
        <v>13.200000000000001</v>
      </c>
      <c r="G96" s="27">
        <f>E96*1.2</f>
        <v>14.399999999999999</v>
      </c>
      <c r="H96" s="27">
        <f>E96*1.3</f>
        <v>15.600000000000001</v>
      </c>
      <c r="I96" s="44" t="s">
        <v>48</v>
      </c>
    </row>
    <row r="97" spans="1:9" x14ac:dyDescent="0.25">
      <c r="A97" s="105" t="s">
        <v>112</v>
      </c>
      <c r="B97" s="29">
        <f t="shared" ref="B97:H97" si="34">(((B96*$B$6*$B$15)*1000000)/($B$7*1000))/1000</f>
        <v>0.25411790700325282</v>
      </c>
      <c r="C97" s="31">
        <f t="shared" si="34"/>
        <v>0.29042046514657477</v>
      </c>
      <c r="D97" s="31">
        <f t="shared" si="34"/>
        <v>0.3267230232898965</v>
      </c>
      <c r="E97" s="51">
        <f t="shared" si="34"/>
        <v>0.36302558143321828</v>
      </c>
      <c r="F97" s="31">
        <f t="shared" si="34"/>
        <v>0.39932813957654023</v>
      </c>
      <c r="G97" s="31">
        <f t="shared" si="34"/>
        <v>0.43563069771986196</v>
      </c>
      <c r="H97" s="31">
        <f t="shared" si="34"/>
        <v>0.47193325586318385</v>
      </c>
      <c r="I97" s="44" t="s">
        <v>14</v>
      </c>
    </row>
    <row r="98" spans="1:9" x14ac:dyDescent="0.25">
      <c r="A98" s="105" t="s">
        <v>99</v>
      </c>
      <c r="B98" s="54">
        <f t="shared" ref="B98:H98" si="35">$B$18</f>
        <v>0.12</v>
      </c>
      <c r="C98" s="54">
        <f t="shared" si="35"/>
        <v>0.12</v>
      </c>
      <c r="D98" s="54">
        <f t="shared" si="35"/>
        <v>0.12</v>
      </c>
      <c r="E98" s="43">
        <f t="shared" si="35"/>
        <v>0.12</v>
      </c>
      <c r="F98" s="54">
        <f t="shared" si="35"/>
        <v>0.12</v>
      </c>
      <c r="G98" s="54">
        <f t="shared" si="35"/>
        <v>0.12</v>
      </c>
      <c r="H98" s="54">
        <f t="shared" si="35"/>
        <v>0.12</v>
      </c>
      <c r="I98" s="44" t="s">
        <v>14</v>
      </c>
    </row>
    <row r="99" spans="1:9" ht="30" x14ac:dyDescent="0.25">
      <c r="A99" s="139" t="s">
        <v>100</v>
      </c>
      <c r="B99" s="192">
        <f>B97+B98</f>
        <v>0.37411790700325281</v>
      </c>
      <c r="C99" s="192">
        <f t="shared" ref="C99:H99" si="36">C97+C98</f>
        <v>0.41042046514657476</v>
      </c>
      <c r="D99" s="192">
        <f t="shared" si="36"/>
        <v>0.44672302328989649</v>
      </c>
      <c r="E99" s="193">
        <f t="shared" si="36"/>
        <v>0.48302558143321828</v>
      </c>
      <c r="F99" s="192">
        <f t="shared" si="36"/>
        <v>0.51932813957654023</v>
      </c>
      <c r="G99" s="192">
        <f t="shared" si="36"/>
        <v>0.55563069771986195</v>
      </c>
      <c r="H99" s="192">
        <f t="shared" si="36"/>
        <v>0.59193325586318379</v>
      </c>
      <c r="I99" s="190" t="s">
        <v>14</v>
      </c>
    </row>
    <row r="100" spans="1:9" x14ac:dyDescent="0.25">
      <c r="A100" s="106" t="s">
        <v>45</v>
      </c>
      <c r="B100" s="29">
        <f t="shared" ref="B100:H100" si="37">$B$11</f>
        <v>0.56000000000000005</v>
      </c>
      <c r="C100" s="29">
        <f t="shared" si="37"/>
        <v>0.56000000000000005</v>
      </c>
      <c r="D100" s="29">
        <f t="shared" si="37"/>
        <v>0.56000000000000005</v>
      </c>
      <c r="E100" s="35">
        <f t="shared" si="37"/>
        <v>0.56000000000000005</v>
      </c>
      <c r="F100" s="29">
        <f t="shared" si="37"/>
        <v>0.56000000000000005</v>
      </c>
      <c r="G100" s="29">
        <f t="shared" si="37"/>
        <v>0.56000000000000005</v>
      </c>
      <c r="H100" s="29">
        <f t="shared" si="37"/>
        <v>0.56000000000000005</v>
      </c>
      <c r="I100" s="44" t="s">
        <v>14</v>
      </c>
    </row>
    <row r="101" spans="1:9" ht="30" x14ac:dyDescent="0.25">
      <c r="A101" s="138" t="s">
        <v>119</v>
      </c>
      <c r="B101" s="183">
        <f t="shared" ref="B101:H101" si="38">B100-B99</f>
        <v>0.18588209299674724</v>
      </c>
      <c r="C101" s="183">
        <f t="shared" si="38"/>
        <v>0.14957953485342529</v>
      </c>
      <c r="D101" s="183">
        <f t="shared" si="38"/>
        <v>0.11327697671010356</v>
      </c>
      <c r="E101" s="184">
        <f t="shared" si="38"/>
        <v>7.6974418566781777E-2</v>
      </c>
      <c r="F101" s="183">
        <f t="shared" si="38"/>
        <v>4.0671860423459827E-2</v>
      </c>
      <c r="G101" s="183">
        <f t="shared" si="38"/>
        <v>4.3693022801380987E-3</v>
      </c>
      <c r="H101" s="183">
        <f t="shared" si="38"/>
        <v>-3.193325586318374E-2</v>
      </c>
      <c r="I101" s="185" t="s">
        <v>14</v>
      </c>
    </row>
    <row r="102" spans="1:9" x14ac:dyDescent="0.25">
      <c r="A102" s="106" t="s">
        <v>114</v>
      </c>
      <c r="B102" s="53">
        <f t="shared" ref="B102:H102" si="39">B101*$B$7</f>
        <v>83.646941848536258</v>
      </c>
      <c r="C102" s="53">
        <f t="shared" si="39"/>
        <v>67.310790684041379</v>
      </c>
      <c r="D102" s="53">
        <f t="shared" si="39"/>
        <v>50.974639519546599</v>
      </c>
      <c r="E102" s="37">
        <f t="shared" si="39"/>
        <v>34.638488355051798</v>
      </c>
      <c r="F102" s="53">
        <f t="shared" si="39"/>
        <v>18.302337190556923</v>
      </c>
      <c r="G102" s="53">
        <f t="shared" si="39"/>
        <v>1.9661860260621444</v>
      </c>
      <c r="H102" s="53">
        <f t="shared" si="39"/>
        <v>-14.369965138432683</v>
      </c>
      <c r="I102" s="38" t="s">
        <v>39</v>
      </c>
    </row>
    <row r="103" spans="1:9" ht="15.75" thickBot="1" x14ac:dyDescent="0.3">
      <c r="A103" s="107" t="s">
        <v>115</v>
      </c>
      <c r="B103" s="39">
        <f t="shared" ref="B103:H103" si="40">B102*$B$14</f>
        <v>1672.9388369707251</v>
      </c>
      <c r="C103" s="39">
        <f t="shared" si="40"/>
        <v>1346.2158136808275</v>
      </c>
      <c r="D103" s="39">
        <f t="shared" si="40"/>
        <v>1019.492790390932</v>
      </c>
      <c r="E103" s="40">
        <f t="shared" si="40"/>
        <v>692.769767101036</v>
      </c>
      <c r="F103" s="39">
        <f t="shared" si="40"/>
        <v>366.04674381113847</v>
      </c>
      <c r="G103" s="39">
        <f t="shared" si="40"/>
        <v>39.32372052124289</v>
      </c>
      <c r="H103" s="39">
        <f t="shared" si="40"/>
        <v>-287.39930276865368</v>
      </c>
      <c r="I103" s="41" t="s">
        <v>39</v>
      </c>
    </row>
    <row r="105" spans="1:9" ht="15.75" thickBot="1" x14ac:dyDescent="0.3">
      <c r="A105" s="6" t="s">
        <v>64</v>
      </c>
    </row>
    <row r="106" spans="1:9" ht="15.75" thickBot="1" x14ac:dyDescent="0.3">
      <c r="A106" s="28"/>
      <c r="B106" s="45">
        <v>-0.3</v>
      </c>
      <c r="C106" s="45">
        <v>-0.2</v>
      </c>
      <c r="D106" s="45">
        <v>-0.1</v>
      </c>
      <c r="E106" s="46" t="s">
        <v>59</v>
      </c>
      <c r="F106" s="45">
        <v>0.1</v>
      </c>
      <c r="G106" s="45">
        <v>0.2</v>
      </c>
      <c r="H106" s="45">
        <v>0.3</v>
      </c>
      <c r="I106" s="47" t="s">
        <v>62</v>
      </c>
    </row>
    <row r="107" spans="1:9" x14ac:dyDescent="0.25">
      <c r="A107" s="48" t="s">
        <v>64</v>
      </c>
      <c r="B107" s="55">
        <f>E107*0.7</f>
        <v>4.5499999999999999E-2</v>
      </c>
      <c r="C107" s="56">
        <f>E107*0.8</f>
        <v>5.2000000000000005E-2</v>
      </c>
      <c r="D107" s="56">
        <f>E107*0.9</f>
        <v>5.8500000000000003E-2</v>
      </c>
      <c r="E107" s="57">
        <f>B13</f>
        <v>6.5000000000000002E-2</v>
      </c>
      <c r="F107" s="56">
        <f>E107*1.1</f>
        <v>7.1500000000000008E-2</v>
      </c>
      <c r="G107" s="56">
        <f>E107*1.2</f>
        <v>7.8E-2</v>
      </c>
      <c r="H107" s="56">
        <f>E107*1.3</f>
        <v>8.4500000000000006E-2</v>
      </c>
      <c r="I107" s="44"/>
    </row>
    <row r="108" spans="1:9" x14ac:dyDescent="0.25">
      <c r="A108" s="105" t="s">
        <v>49</v>
      </c>
      <c r="B108" s="100">
        <f t="shared" ref="B108:H108" si="41">B107/(1-(1/((1+B107)^$B$14)))</f>
        <v>7.7209574696405117E-2</v>
      </c>
      <c r="C108" s="101">
        <f t="shared" si="41"/>
        <v>8.1608948630384218E-2</v>
      </c>
      <c r="D108" s="101">
        <f t="shared" si="41"/>
        <v>8.6125908494661271E-2</v>
      </c>
      <c r="E108" s="57">
        <f t="shared" si="41"/>
        <v>9.0756395358304584E-2</v>
      </c>
      <c r="F108" s="101">
        <f t="shared" si="41"/>
        <v>9.5496208108889938E-2</v>
      </c>
      <c r="G108" s="101">
        <f t="shared" si="41"/>
        <v>0.10034103966089437</v>
      </c>
      <c r="H108" s="101">
        <f t="shared" si="41"/>
        <v>0.10528651146244643</v>
      </c>
      <c r="I108" s="44"/>
    </row>
    <row r="109" spans="1:9" x14ac:dyDescent="0.25">
      <c r="A109" s="105" t="s">
        <v>112</v>
      </c>
      <c r="B109" s="29">
        <f t="shared" ref="B109:H109" si="42">((($B$12*$B$6*B108)*1000000)/($B$7*1000))/1000</f>
        <v>0.30883829878562047</v>
      </c>
      <c r="C109" s="29">
        <f t="shared" si="42"/>
        <v>0.32643579452153687</v>
      </c>
      <c r="D109" s="29">
        <f t="shared" si="42"/>
        <v>0.34450363397864509</v>
      </c>
      <c r="E109" s="35">
        <f t="shared" si="42"/>
        <v>0.36302558143321828</v>
      </c>
      <c r="F109" s="29">
        <f t="shared" si="42"/>
        <v>0.38198483243555981</v>
      </c>
      <c r="G109" s="29">
        <f t="shared" si="42"/>
        <v>0.4013641586435775</v>
      </c>
      <c r="H109" s="29">
        <f t="shared" si="42"/>
        <v>0.42114604584978577</v>
      </c>
      <c r="I109" s="44" t="s">
        <v>14</v>
      </c>
    </row>
    <row r="110" spans="1:9" x14ac:dyDescent="0.25">
      <c r="A110" s="105" t="s">
        <v>99</v>
      </c>
      <c r="B110" s="26">
        <f t="shared" ref="B110:H110" si="43">$B$18</f>
        <v>0.12</v>
      </c>
      <c r="C110" s="26">
        <f t="shared" si="43"/>
        <v>0.12</v>
      </c>
      <c r="D110" s="26">
        <f t="shared" si="43"/>
        <v>0.12</v>
      </c>
      <c r="E110" s="43">
        <f t="shared" si="43"/>
        <v>0.12</v>
      </c>
      <c r="F110" s="26">
        <f t="shared" si="43"/>
        <v>0.12</v>
      </c>
      <c r="G110" s="26">
        <f t="shared" si="43"/>
        <v>0.12</v>
      </c>
      <c r="H110" s="26">
        <f t="shared" si="43"/>
        <v>0.12</v>
      </c>
      <c r="I110" s="44" t="s">
        <v>14</v>
      </c>
    </row>
    <row r="111" spans="1:9" ht="30" x14ac:dyDescent="0.25">
      <c r="A111" s="139" t="s">
        <v>100</v>
      </c>
      <c r="B111" s="192">
        <f t="shared" ref="B111:H111" si="44">B110+B109</f>
        <v>0.42883829878562046</v>
      </c>
      <c r="C111" s="192">
        <f t="shared" si="44"/>
        <v>0.44643579452153687</v>
      </c>
      <c r="D111" s="192">
        <f t="shared" si="44"/>
        <v>0.46450363397864508</v>
      </c>
      <c r="E111" s="193">
        <f t="shared" si="44"/>
        <v>0.48302558143321828</v>
      </c>
      <c r="F111" s="192">
        <f t="shared" si="44"/>
        <v>0.5019848324355598</v>
      </c>
      <c r="G111" s="192">
        <f t="shared" si="44"/>
        <v>0.52136415864357755</v>
      </c>
      <c r="H111" s="192">
        <f t="shared" si="44"/>
        <v>0.54114604584978576</v>
      </c>
      <c r="I111" s="190" t="s">
        <v>14</v>
      </c>
    </row>
    <row r="112" spans="1:9" x14ac:dyDescent="0.25">
      <c r="A112" s="106" t="s">
        <v>45</v>
      </c>
      <c r="B112" s="29">
        <f t="shared" ref="B112:H112" si="45">$B$11</f>
        <v>0.56000000000000005</v>
      </c>
      <c r="C112" s="29">
        <f t="shared" si="45"/>
        <v>0.56000000000000005</v>
      </c>
      <c r="D112" s="29">
        <f t="shared" si="45"/>
        <v>0.56000000000000005</v>
      </c>
      <c r="E112" s="35">
        <f t="shared" si="45"/>
        <v>0.56000000000000005</v>
      </c>
      <c r="F112" s="29">
        <f t="shared" si="45"/>
        <v>0.56000000000000005</v>
      </c>
      <c r="G112" s="29">
        <f t="shared" si="45"/>
        <v>0.56000000000000005</v>
      </c>
      <c r="H112" s="29">
        <f t="shared" si="45"/>
        <v>0.56000000000000005</v>
      </c>
      <c r="I112" s="44" t="s">
        <v>14</v>
      </c>
    </row>
    <row r="113" spans="1:10" ht="30" x14ac:dyDescent="0.25">
      <c r="A113" s="138" t="s">
        <v>119</v>
      </c>
      <c r="B113" s="183">
        <f t="shared" ref="B113:H113" si="46">B112-B111</f>
        <v>0.13116170121437959</v>
      </c>
      <c r="C113" s="183">
        <f t="shared" si="46"/>
        <v>0.11356420547846319</v>
      </c>
      <c r="D113" s="183">
        <f t="shared" si="46"/>
        <v>9.5496366021354973E-2</v>
      </c>
      <c r="E113" s="184">
        <f t="shared" si="46"/>
        <v>7.6974418566781777E-2</v>
      </c>
      <c r="F113" s="183">
        <f t="shared" si="46"/>
        <v>5.8015167564440251E-2</v>
      </c>
      <c r="G113" s="183">
        <f t="shared" si="46"/>
        <v>3.8635841356422507E-2</v>
      </c>
      <c r="H113" s="183">
        <f t="shared" si="46"/>
        <v>1.8853954150214292E-2</v>
      </c>
      <c r="I113" s="185" t="s">
        <v>14</v>
      </c>
    </row>
    <row r="114" spans="1:10" x14ac:dyDescent="0.25">
      <c r="A114" s="106" t="s">
        <v>114</v>
      </c>
      <c r="B114" s="53">
        <f t="shared" ref="B114:H114" si="47">B113*$B$7</f>
        <v>59.022765546470815</v>
      </c>
      <c r="C114" s="53">
        <f t="shared" si="47"/>
        <v>51.103892465308434</v>
      </c>
      <c r="D114" s="53">
        <f t="shared" si="47"/>
        <v>42.97336470960974</v>
      </c>
      <c r="E114" s="37">
        <f t="shared" si="47"/>
        <v>34.638488355051798</v>
      </c>
      <c r="F114" s="53">
        <f t="shared" si="47"/>
        <v>26.106825403998112</v>
      </c>
      <c r="G114" s="53">
        <f t="shared" si="47"/>
        <v>17.386128610390127</v>
      </c>
      <c r="H114" s="53">
        <f t="shared" si="47"/>
        <v>8.4842793675964305</v>
      </c>
      <c r="I114" s="38" t="s">
        <v>39</v>
      </c>
    </row>
    <row r="115" spans="1:10" ht="15.75" thickBot="1" x14ac:dyDescent="0.3">
      <c r="A115" s="107" t="s">
        <v>115</v>
      </c>
      <c r="B115" s="39">
        <f t="shared" ref="B115:H115" si="48">B114*$B$14</f>
        <v>1180.4553109294163</v>
      </c>
      <c r="C115" s="39">
        <f t="shared" si="48"/>
        <v>1022.0778493061687</v>
      </c>
      <c r="D115" s="39">
        <f t="shared" si="48"/>
        <v>859.4672941921948</v>
      </c>
      <c r="E115" s="40">
        <f t="shared" si="48"/>
        <v>692.769767101036</v>
      </c>
      <c r="F115" s="39">
        <f t="shared" si="48"/>
        <v>522.13650807996225</v>
      </c>
      <c r="G115" s="39">
        <f t="shared" si="48"/>
        <v>347.72257220780256</v>
      </c>
      <c r="H115" s="39">
        <f t="shared" si="48"/>
        <v>169.6855873519286</v>
      </c>
      <c r="I115" s="41" t="s">
        <v>39</v>
      </c>
    </row>
    <row r="117" spans="1:10" ht="15.75" thickBot="1" x14ac:dyDescent="0.3">
      <c r="A117" s="2" t="s">
        <v>125</v>
      </c>
    </row>
    <row r="118" spans="1:10" ht="15.75" thickBot="1" x14ac:dyDescent="0.3">
      <c r="A118" s="28"/>
      <c r="B118" s="45">
        <v>-0.3</v>
      </c>
      <c r="C118" s="45">
        <v>-0.2</v>
      </c>
      <c r="D118" s="45">
        <v>-0.1</v>
      </c>
      <c r="E118" s="46" t="s">
        <v>59</v>
      </c>
      <c r="F118" s="45">
        <v>0.1</v>
      </c>
      <c r="G118" s="45">
        <v>0.2</v>
      </c>
      <c r="H118" s="45">
        <v>0.3</v>
      </c>
      <c r="I118" s="47" t="s">
        <v>62</v>
      </c>
    </row>
    <row r="119" spans="1:10" x14ac:dyDescent="0.25">
      <c r="A119" s="112" t="s">
        <v>84</v>
      </c>
      <c r="B119" s="110">
        <f>E119*0.7</f>
        <v>1.2599999999999998E-2</v>
      </c>
      <c r="C119" s="110">
        <f>E119*0.8</f>
        <v>1.44E-2</v>
      </c>
      <c r="D119" s="110">
        <f>E119*0.9</f>
        <v>1.6199999999999999E-2</v>
      </c>
      <c r="E119" s="104">
        <f>B21</f>
        <v>1.7999999999999999E-2</v>
      </c>
      <c r="F119" s="110">
        <f>E119*1.1</f>
        <v>1.9800000000000002E-2</v>
      </c>
      <c r="G119" s="110">
        <f>E119*1.2</f>
        <v>2.1599999999999998E-2</v>
      </c>
      <c r="H119" s="110">
        <f>E119*1.32</f>
        <v>2.376E-2</v>
      </c>
      <c r="I119" s="44" t="s">
        <v>14</v>
      </c>
    </row>
    <row r="120" spans="1:10" x14ac:dyDescent="0.25">
      <c r="A120" s="113" t="s">
        <v>83</v>
      </c>
      <c r="B120" s="108">
        <f t="shared" ref="B120:H120" si="49">$B$20</f>
        <v>1.2E-2</v>
      </c>
      <c r="C120" s="108">
        <f t="shared" si="49"/>
        <v>1.2E-2</v>
      </c>
      <c r="D120" s="108">
        <f t="shared" si="49"/>
        <v>1.2E-2</v>
      </c>
      <c r="E120" s="109">
        <f t="shared" si="49"/>
        <v>1.2E-2</v>
      </c>
      <c r="F120" s="108">
        <f t="shared" si="49"/>
        <v>1.2E-2</v>
      </c>
      <c r="G120" s="108">
        <f t="shared" si="49"/>
        <v>1.2E-2</v>
      </c>
      <c r="H120" s="108">
        <f t="shared" si="49"/>
        <v>1.2E-2</v>
      </c>
      <c r="I120" s="38" t="s">
        <v>14</v>
      </c>
    </row>
    <row r="121" spans="1:10" x14ac:dyDescent="0.25">
      <c r="A121" s="113" t="s">
        <v>81</v>
      </c>
      <c r="B121" s="111">
        <f>B119+B120</f>
        <v>2.4599999999999997E-2</v>
      </c>
      <c r="C121" s="111">
        <f t="shared" ref="C121:H121" si="50">C119+C120</f>
        <v>2.64E-2</v>
      </c>
      <c r="D121" s="111">
        <f t="shared" si="50"/>
        <v>2.8199999999999999E-2</v>
      </c>
      <c r="E121" s="109">
        <f t="shared" si="50"/>
        <v>0.03</v>
      </c>
      <c r="F121" s="111">
        <f t="shared" si="50"/>
        <v>3.1800000000000002E-2</v>
      </c>
      <c r="G121" s="111">
        <f t="shared" si="50"/>
        <v>3.3599999999999998E-2</v>
      </c>
      <c r="H121" s="111">
        <f t="shared" si="50"/>
        <v>3.576E-2</v>
      </c>
      <c r="I121" s="38" t="s">
        <v>14</v>
      </c>
    </row>
    <row r="122" spans="1:10" x14ac:dyDescent="0.25">
      <c r="A122" s="113" t="s">
        <v>99</v>
      </c>
      <c r="B122" s="111">
        <v>0.11600000000000001</v>
      </c>
      <c r="C122" s="111">
        <v>0.11700000000000001</v>
      </c>
      <c r="D122" s="111">
        <v>0.11899999999999999</v>
      </c>
      <c r="E122" s="109">
        <v>0.12</v>
      </c>
      <c r="F122" s="111">
        <v>0.123</v>
      </c>
      <c r="G122" s="111">
        <v>0.125</v>
      </c>
      <c r="H122" s="111">
        <v>0.127</v>
      </c>
      <c r="I122" s="38" t="s">
        <v>14</v>
      </c>
      <c r="J122" s="71" t="s">
        <v>88</v>
      </c>
    </row>
    <row r="123" spans="1:10" x14ac:dyDescent="0.25">
      <c r="A123" s="105" t="s">
        <v>112</v>
      </c>
      <c r="B123" s="29">
        <f t="shared" ref="B123:H123" si="51">$B$17</f>
        <v>0.36302558143321828</v>
      </c>
      <c r="C123" s="29">
        <f t="shared" si="51"/>
        <v>0.36302558143321828</v>
      </c>
      <c r="D123" s="29">
        <f t="shared" si="51"/>
        <v>0.36302558143321828</v>
      </c>
      <c r="E123" s="35">
        <f t="shared" si="51"/>
        <v>0.36302558143321828</v>
      </c>
      <c r="F123" s="29">
        <f t="shared" si="51"/>
        <v>0.36302558143321828</v>
      </c>
      <c r="G123" s="29">
        <f t="shared" si="51"/>
        <v>0.36302558143321828</v>
      </c>
      <c r="H123" s="29">
        <f t="shared" si="51"/>
        <v>0.36302558143321828</v>
      </c>
      <c r="I123" s="44" t="s">
        <v>14</v>
      </c>
    </row>
    <row r="124" spans="1:10" ht="30" x14ac:dyDescent="0.25">
      <c r="A124" s="140" t="s">
        <v>100</v>
      </c>
      <c r="B124" s="183">
        <f>B123+B122</f>
        <v>0.47902558143321827</v>
      </c>
      <c r="C124" s="183">
        <f t="shared" ref="C124:H124" si="52">C123+C122</f>
        <v>0.48002558143321827</v>
      </c>
      <c r="D124" s="183">
        <f t="shared" si="52"/>
        <v>0.48202558143321828</v>
      </c>
      <c r="E124" s="184">
        <f t="shared" si="52"/>
        <v>0.48302558143321828</v>
      </c>
      <c r="F124" s="183">
        <f t="shared" si="52"/>
        <v>0.48602558143321828</v>
      </c>
      <c r="G124" s="183">
        <f t="shared" si="52"/>
        <v>0.48802558143321828</v>
      </c>
      <c r="H124" s="183">
        <f t="shared" si="52"/>
        <v>0.49002558143321828</v>
      </c>
      <c r="I124" s="185" t="s">
        <v>14</v>
      </c>
    </row>
    <row r="125" spans="1:10" x14ac:dyDescent="0.25">
      <c r="A125" s="106" t="s">
        <v>45</v>
      </c>
      <c r="B125" s="29">
        <f t="shared" ref="B125:H125" si="53">$B$11</f>
        <v>0.56000000000000005</v>
      </c>
      <c r="C125" s="29">
        <f t="shared" si="53"/>
        <v>0.56000000000000005</v>
      </c>
      <c r="D125" s="29">
        <f t="shared" si="53"/>
        <v>0.56000000000000005</v>
      </c>
      <c r="E125" s="35">
        <f t="shared" si="53"/>
        <v>0.56000000000000005</v>
      </c>
      <c r="F125" s="29">
        <f t="shared" si="53"/>
        <v>0.56000000000000005</v>
      </c>
      <c r="G125" s="29">
        <f t="shared" si="53"/>
        <v>0.56000000000000005</v>
      </c>
      <c r="H125" s="29">
        <f t="shared" si="53"/>
        <v>0.56000000000000005</v>
      </c>
      <c r="I125" s="44" t="s">
        <v>14</v>
      </c>
    </row>
    <row r="126" spans="1:10" ht="30" x14ac:dyDescent="0.25">
      <c r="A126" s="138" t="s">
        <v>119</v>
      </c>
      <c r="B126" s="183">
        <f t="shared" ref="B126:H126" si="54">B125-B124</f>
        <v>8.0974418566781781E-2</v>
      </c>
      <c r="C126" s="183">
        <f t="shared" si="54"/>
        <v>7.997441856678178E-2</v>
      </c>
      <c r="D126" s="183">
        <f t="shared" si="54"/>
        <v>7.7974418566781778E-2</v>
      </c>
      <c r="E126" s="184">
        <f t="shared" si="54"/>
        <v>7.6974418566781777E-2</v>
      </c>
      <c r="F126" s="183">
        <f t="shared" si="54"/>
        <v>7.3974418566781774E-2</v>
      </c>
      <c r="G126" s="183">
        <f t="shared" si="54"/>
        <v>7.1974418566781773E-2</v>
      </c>
      <c r="H126" s="183">
        <f t="shared" si="54"/>
        <v>6.9974418566781771E-2</v>
      </c>
      <c r="I126" s="185" t="s">
        <v>14</v>
      </c>
    </row>
    <row r="127" spans="1:10" x14ac:dyDescent="0.25">
      <c r="A127" s="106" t="s">
        <v>114</v>
      </c>
      <c r="B127" s="53">
        <f t="shared" ref="B127:H127" si="55">B126*$B$7</f>
        <v>36.438488355051803</v>
      </c>
      <c r="C127" s="53">
        <f t="shared" si="55"/>
        <v>35.9884883550518</v>
      </c>
      <c r="D127" s="53">
        <f t="shared" si="55"/>
        <v>35.088488355051801</v>
      </c>
      <c r="E127" s="37">
        <f t="shared" si="55"/>
        <v>34.638488355051798</v>
      </c>
      <c r="F127" s="53">
        <f t="shared" si="55"/>
        <v>33.288488355051797</v>
      </c>
      <c r="G127" s="53">
        <f t="shared" si="55"/>
        <v>32.388488355051798</v>
      </c>
      <c r="H127" s="53">
        <f t="shared" si="55"/>
        <v>31.488488355051796</v>
      </c>
      <c r="I127" s="38" t="s">
        <v>39</v>
      </c>
    </row>
    <row r="128" spans="1:10" ht="15.75" thickBot="1" x14ac:dyDescent="0.3">
      <c r="A128" s="107" t="s">
        <v>115</v>
      </c>
      <c r="B128" s="114">
        <f t="shared" ref="B128:H128" si="56">B127*$B$14</f>
        <v>728.769767101036</v>
      </c>
      <c r="C128" s="114">
        <f t="shared" si="56"/>
        <v>719.769767101036</v>
      </c>
      <c r="D128" s="114">
        <f t="shared" si="56"/>
        <v>701.769767101036</v>
      </c>
      <c r="E128" s="115">
        <f t="shared" si="56"/>
        <v>692.769767101036</v>
      </c>
      <c r="F128" s="114">
        <f t="shared" si="56"/>
        <v>665.769767101036</v>
      </c>
      <c r="G128" s="114">
        <f t="shared" si="56"/>
        <v>647.769767101036</v>
      </c>
      <c r="H128" s="114">
        <f t="shared" si="56"/>
        <v>629.76976710103588</v>
      </c>
      <c r="I128" s="116" t="s">
        <v>39</v>
      </c>
    </row>
    <row r="130" spans="1:10" ht="15.75" thickBot="1" x14ac:dyDescent="0.3">
      <c r="A130" s="2" t="s">
        <v>82</v>
      </c>
    </row>
    <row r="131" spans="1:10" ht="15.75" thickBot="1" x14ac:dyDescent="0.3">
      <c r="A131" s="28"/>
      <c r="B131" s="45">
        <v>-0.3</v>
      </c>
      <c r="C131" s="45">
        <v>-0.2</v>
      </c>
      <c r="D131" s="45">
        <v>-0.1</v>
      </c>
      <c r="E131" s="46" t="s">
        <v>59</v>
      </c>
      <c r="F131" s="45">
        <v>0.1</v>
      </c>
      <c r="G131" s="45">
        <v>0.2</v>
      </c>
      <c r="H131" s="45">
        <v>0.3</v>
      </c>
      <c r="I131" s="47" t="s">
        <v>62</v>
      </c>
    </row>
    <row r="132" spans="1:10" x14ac:dyDescent="0.25">
      <c r="A132" s="118" t="s">
        <v>82</v>
      </c>
      <c r="B132" s="119">
        <f>E132*0.7</f>
        <v>1.7499999999999998E-2</v>
      </c>
      <c r="C132" s="119">
        <f>E132*0.8</f>
        <v>2.0000000000000004E-2</v>
      </c>
      <c r="D132" s="119">
        <f>E132*0.9</f>
        <v>2.2500000000000003E-2</v>
      </c>
      <c r="E132" s="120">
        <v>2.5000000000000001E-2</v>
      </c>
      <c r="F132" s="119">
        <f>E132*1.1</f>
        <v>2.7500000000000004E-2</v>
      </c>
      <c r="G132" s="119">
        <f>E132*1.2</f>
        <v>0.03</v>
      </c>
      <c r="H132" s="119">
        <f>E132*1.3</f>
        <v>3.2500000000000001E-2</v>
      </c>
      <c r="I132" s="121" t="s">
        <v>69</v>
      </c>
    </row>
    <row r="133" spans="1:10" x14ac:dyDescent="0.25">
      <c r="A133" s="113" t="s">
        <v>99</v>
      </c>
      <c r="B133" s="111">
        <v>0.11700000000000001</v>
      </c>
      <c r="C133" s="111">
        <v>0.11799999999999999</v>
      </c>
      <c r="D133" s="111">
        <v>0.12</v>
      </c>
      <c r="E133" s="109">
        <v>0.12</v>
      </c>
      <c r="F133" s="111">
        <v>0.122</v>
      </c>
      <c r="G133" s="111">
        <v>0.123</v>
      </c>
      <c r="H133" s="111">
        <v>0.125</v>
      </c>
      <c r="I133" s="38" t="s">
        <v>14</v>
      </c>
      <c r="J133" s="71" t="s">
        <v>88</v>
      </c>
    </row>
    <row r="134" spans="1:10" x14ac:dyDescent="0.25">
      <c r="A134" s="105" t="s">
        <v>112</v>
      </c>
      <c r="B134" s="29">
        <f t="shared" ref="B134:H134" si="57">$B$17</f>
        <v>0.36302558143321828</v>
      </c>
      <c r="C134" s="29">
        <f t="shared" si="57"/>
        <v>0.36302558143321828</v>
      </c>
      <c r="D134" s="29">
        <f t="shared" si="57"/>
        <v>0.36302558143321828</v>
      </c>
      <c r="E134" s="35">
        <f t="shared" si="57"/>
        <v>0.36302558143321828</v>
      </c>
      <c r="F134" s="29">
        <f t="shared" si="57"/>
        <v>0.36302558143321828</v>
      </c>
      <c r="G134" s="29">
        <f t="shared" si="57"/>
        <v>0.36302558143321828</v>
      </c>
      <c r="H134" s="29">
        <f t="shared" si="57"/>
        <v>0.36302558143321828</v>
      </c>
      <c r="I134" s="44" t="s">
        <v>14</v>
      </c>
    </row>
    <row r="135" spans="1:10" ht="30" x14ac:dyDescent="0.25">
      <c r="A135" s="140" t="s">
        <v>100</v>
      </c>
      <c r="B135" s="183">
        <f>B134+B133</f>
        <v>0.48002558143321827</v>
      </c>
      <c r="C135" s="183">
        <f t="shared" ref="C135" si="58">C134+C133</f>
        <v>0.48102558143321827</v>
      </c>
      <c r="D135" s="183">
        <f t="shared" ref="D135" si="59">D134+D133</f>
        <v>0.48302558143321828</v>
      </c>
      <c r="E135" s="184">
        <f t="shared" ref="E135" si="60">E134+E133</f>
        <v>0.48302558143321828</v>
      </c>
      <c r="F135" s="183">
        <f t="shared" ref="F135" si="61">F134+F133</f>
        <v>0.48502558143321828</v>
      </c>
      <c r="G135" s="183">
        <f t="shared" ref="G135" si="62">G134+G133</f>
        <v>0.48602558143321828</v>
      </c>
      <c r="H135" s="183">
        <f t="shared" ref="H135" si="63">H134+H133</f>
        <v>0.48802558143321828</v>
      </c>
      <c r="I135" s="185" t="s">
        <v>14</v>
      </c>
    </row>
    <row r="136" spans="1:10" x14ac:dyDescent="0.25">
      <c r="A136" s="106" t="s">
        <v>45</v>
      </c>
      <c r="B136" s="29">
        <f t="shared" ref="B136:H136" si="64">$B$11</f>
        <v>0.56000000000000005</v>
      </c>
      <c r="C136" s="29">
        <f t="shared" si="64"/>
        <v>0.56000000000000005</v>
      </c>
      <c r="D136" s="29">
        <f t="shared" si="64"/>
        <v>0.56000000000000005</v>
      </c>
      <c r="E136" s="35">
        <f t="shared" si="64"/>
        <v>0.56000000000000005</v>
      </c>
      <c r="F136" s="29">
        <f t="shared" si="64"/>
        <v>0.56000000000000005</v>
      </c>
      <c r="G136" s="29">
        <f t="shared" si="64"/>
        <v>0.56000000000000005</v>
      </c>
      <c r="H136" s="29">
        <f t="shared" si="64"/>
        <v>0.56000000000000005</v>
      </c>
      <c r="I136" s="44" t="s">
        <v>14</v>
      </c>
    </row>
    <row r="137" spans="1:10" ht="30" x14ac:dyDescent="0.25">
      <c r="A137" s="138" t="s">
        <v>119</v>
      </c>
      <c r="B137" s="183">
        <f t="shared" ref="B137:H137" si="65">B136-B135</f>
        <v>7.997441856678178E-2</v>
      </c>
      <c r="C137" s="183">
        <f t="shared" si="65"/>
        <v>7.8974418566781779E-2</v>
      </c>
      <c r="D137" s="183">
        <f t="shared" si="65"/>
        <v>7.6974418566781777E-2</v>
      </c>
      <c r="E137" s="184">
        <f t="shared" si="65"/>
        <v>7.6974418566781777E-2</v>
      </c>
      <c r="F137" s="183">
        <f t="shared" si="65"/>
        <v>7.4974418566781775E-2</v>
      </c>
      <c r="G137" s="183">
        <f t="shared" si="65"/>
        <v>7.3974418566781774E-2</v>
      </c>
      <c r="H137" s="183">
        <f t="shared" si="65"/>
        <v>7.1974418566781773E-2</v>
      </c>
      <c r="I137" s="185" t="s">
        <v>14</v>
      </c>
    </row>
    <row r="138" spans="1:10" x14ac:dyDescent="0.25">
      <c r="A138" s="106" t="s">
        <v>114</v>
      </c>
      <c r="B138" s="53">
        <f t="shared" ref="B138:H138" si="66">B137*$B$7</f>
        <v>35.9884883550518</v>
      </c>
      <c r="C138" s="53">
        <f t="shared" si="66"/>
        <v>35.538488355051797</v>
      </c>
      <c r="D138" s="53">
        <f t="shared" si="66"/>
        <v>34.638488355051798</v>
      </c>
      <c r="E138" s="37">
        <f t="shared" si="66"/>
        <v>34.638488355051798</v>
      </c>
      <c r="F138" s="53">
        <f t="shared" si="66"/>
        <v>33.7384883550518</v>
      </c>
      <c r="G138" s="53">
        <f t="shared" si="66"/>
        <v>33.288488355051797</v>
      </c>
      <c r="H138" s="53">
        <f t="shared" si="66"/>
        <v>32.388488355051798</v>
      </c>
      <c r="I138" s="38" t="s">
        <v>39</v>
      </c>
    </row>
    <row r="139" spans="1:10" ht="15.75" thickBot="1" x14ac:dyDescent="0.3">
      <c r="A139" s="107" t="s">
        <v>115</v>
      </c>
      <c r="B139" s="114">
        <f t="shared" ref="B139:H139" si="67">B138*$B$14</f>
        <v>719.769767101036</v>
      </c>
      <c r="C139" s="114">
        <f t="shared" si="67"/>
        <v>710.769767101036</v>
      </c>
      <c r="D139" s="114">
        <f t="shared" si="67"/>
        <v>692.769767101036</v>
      </c>
      <c r="E139" s="115">
        <f t="shared" si="67"/>
        <v>692.769767101036</v>
      </c>
      <c r="F139" s="114">
        <f t="shared" si="67"/>
        <v>674.769767101036</v>
      </c>
      <c r="G139" s="114">
        <f t="shared" si="67"/>
        <v>665.769767101036</v>
      </c>
      <c r="H139" s="114">
        <f t="shared" si="67"/>
        <v>647.769767101036</v>
      </c>
      <c r="I139" s="116" t="s">
        <v>39</v>
      </c>
    </row>
  </sheetData>
  <mergeCells count="18">
    <mergeCell ref="C7:D7"/>
    <mergeCell ref="A3:L3"/>
    <mergeCell ref="A1:L1"/>
    <mergeCell ref="C5:D5"/>
    <mergeCell ref="C6:D6"/>
    <mergeCell ref="A2:L2"/>
    <mergeCell ref="C19:D19"/>
    <mergeCell ref="C18:D18"/>
    <mergeCell ref="C17:D17"/>
    <mergeCell ref="C16:D16"/>
    <mergeCell ref="C15:D15"/>
    <mergeCell ref="C9:D9"/>
    <mergeCell ref="C8:D8"/>
    <mergeCell ref="C14:D14"/>
    <mergeCell ref="C13:D13"/>
    <mergeCell ref="C12:D12"/>
    <mergeCell ref="C11:D11"/>
    <mergeCell ref="C10:D10"/>
  </mergeCells>
  <conditionalFormatting sqref="B80:H80">
    <cfRule type="cellIs" priority="52" operator="equal">
      <formula>0</formula>
    </cfRule>
    <cfRule type="cellIs" dxfId="35" priority="53" operator="lessThan">
      <formula>0</formula>
    </cfRule>
    <cfRule type="cellIs" dxfId="34" priority="54" operator="greaterThan">
      <formula>0</formula>
    </cfRule>
  </conditionalFormatting>
  <conditionalFormatting sqref="B81:H82">
    <cfRule type="cellIs" priority="49" operator="equal">
      <formula>0</formula>
    </cfRule>
    <cfRule type="cellIs" dxfId="33" priority="50" operator="lessThan">
      <formula>0</formula>
    </cfRule>
    <cfRule type="cellIs" dxfId="32" priority="51" operator="greaterThan">
      <formula>0</formula>
    </cfRule>
  </conditionalFormatting>
  <conditionalFormatting sqref="B58:H58">
    <cfRule type="cellIs" priority="46" operator="equal">
      <formula>0</formula>
    </cfRule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B59:H60">
    <cfRule type="cellIs" priority="43" operator="equal">
      <formula>0</formula>
    </cfRule>
    <cfRule type="cellIs" dxfId="29" priority="44" operator="lessThan">
      <formula>0</formula>
    </cfRule>
    <cfRule type="cellIs" dxfId="28" priority="45" operator="greaterThan">
      <formula>0</formula>
    </cfRule>
  </conditionalFormatting>
  <conditionalFormatting sqref="B68:H68">
    <cfRule type="cellIs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B69:H70">
    <cfRule type="cellIs" priority="37" operator="equal">
      <formula>0</formula>
    </cfRule>
    <cfRule type="cellIs" dxfId="25" priority="38" operator="lessThan">
      <formula>0</formula>
    </cfRule>
    <cfRule type="cellIs" dxfId="24" priority="39" operator="greaterThan">
      <formula>0</formula>
    </cfRule>
  </conditionalFormatting>
  <conditionalFormatting sqref="B90:H90">
    <cfRule type="cellIs" priority="34" operator="equal">
      <formula>0</formula>
    </cfRule>
    <cfRule type="cellIs" dxfId="23" priority="35" operator="lessThan">
      <formula>0</formula>
    </cfRule>
    <cfRule type="cellIs" dxfId="22" priority="36" operator="greaterThan">
      <formula>0</formula>
    </cfRule>
  </conditionalFormatting>
  <conditionalFormatting sqref="B91:H92">
    <cfRule type="cellIs" priority="31" operator="equal">
      <formula>0</formula>
    </cfRule>
    <cfRule type="cellIs" dxfId="21" priority="32" operator="lessThan">
      <formula>0</formula>
    </cfRule>
    <cfRule type="cellIs" dxfId="20" priority="33" operator="greaterThan">
      <formula>0</formula>
    </cfRule>
  </conditionalFormatting>
  <conditionalFormatting sqref="B101:H101">
    <cfRule type="cellIs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B102:H103">
    <cfRule type="cellIs" priority="25" operator="equal">
      <formula>0</formula>
    </cfRule>
    <cfRule type="cellIs" dxfId="17" priority="26" operator="lessThan">
      <formula>0</formula>
    </cfRule>
    <cfRule type="cellIs" dxfId="16" priority="27" operator="greaterThan">
      <formula>0</formula>
    </cfRule>
  </conditionalFormatting>
  <conditionalFormatting sqref="B113:H113">
    <cfRule type="cellIs" priority="22" operator="equal">
      <formula>0</formula>
    </cfRule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B114:H115">
    <cfRule type="cellIs" priority="19" operator="equal">
      <formula>0</formula>
    </cfRule>
    <cfRule type="cellIs" dxfId="13" priority="20" operator="lessThan">
      <formula>0</formula>
    </cfRule>
    <cfRule type="cellIs" dxfId="12" priority="21" operator="greaterThan">
      <formula>0</formula>
    </cfRule>
  </conditionalFormatting>
  <conditionalFormatting sqref="B126:H126">
    <cfRule type="cellIs" priority="16" operator="equal">
      <formula>0</formula>
    </cfRule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B127:H127">
    <cfRule type="cellIs" priority="13" operator="equal">
      <formula>0</formula>
    </cfRule>
    <cfRule type="cellIs" dxfId="9" priority="14" operator="lessThan">
      <formula>0</formula>
    </cfRule>
    <cfRule type="cellIs" dxfId="8" priority="15" operator="greaterThan">
      <formula>0</formula>
    </cfRule>
  </conditionalFormatting>
  <conditionalFormatting sqref="B137:H137">
    <cfRule type="cellIs" priority="10" operator="equal">
      <formula>0</formula>
    </cfRule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B138:H138">
    <cfRule type="cellIs" priority="7" operator="equal">
      <formula>0</formula>
    </cfRule>
    <cfRule type="cellIs" dxfId="5" priority="8" operator="lessThan">
      <formula>0</formula>
    </cfRule>
    <cfRule type="cellIs" dxfId="4" priority="9" operator="greaterThan">
      <formula>0</formula>
    </cfRule>
  </conditionalFormatting>
  <conditionalFormatting sqref="B128:H128">
    <cfRule type="cellIs" priority="4" operator="equal">
      <formula>0</formula>
    </cfRule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B139:H139">
    <cfRule type="cellIs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landscape" r:id="rId1"/>
  <headerFooter>
    <oddHeader>&amp;CModell 1</oddHeader>
  </headerFooter>
  <ignoredErrors>
    <ignoredError sqref="F97:H97 B97:D9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Inputverdier</vt:lpstr>
      <vt:lpstr>Beregningsmetode 1</vt:lpstr>
      <vt:lpstr>Beregningsmetode 2</vt:lpstr>
      <vt:lpstr>Sensitivitetsanalyse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Monas Samsung</dc:creator>
  <cp:lastModifiedBy>Monas Samsung</cp:lastModifiedBy>
  <cp:lastPrinted>2014-04-09T11:27:15Z</cp:lastPrinted>
  <dcterms:created xsi:type="dcterms:W3CDTF">2014-03-28T09:20:27Z</dcterms:created>
  <dcterms:modified xsi:type="dcterms:W3CDTF">2014-05-14T13:42:50Z</dcterms:modified>
</cp:coreProperties>
</file>