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88" yWindow="120" windowWidth="11736" windowHeight="5808" firstSheet="2" activeTab="3"/>
  </bookViews>
  <sheets>
    <sheet name="HPLC" sheetId="1" r:id="rId1"/>
    <sheet name="HSGC" sheetId="2" r:id="rId2"/>
    <sheet name="All rådata HPLC og HSGC" sheetId="6" r:id="rId3"/>
    <sheet name="Rådata til Figurer fra R studio" sheetId="7" r:id="rId4"/>
  </sheets>
  <calcPr calcId="124519"/>
</workbook>
</file>

<file path=xl/calcChain.xml><?xml version="1.0" encoding="utf-8"?>
<calcChain xmlns="http://schemas.openxmlformats.org/spreadsheetml/2006/main">
  <c r="X68" i="7"/>
  <c r="X152"/>
  <c r="X86"/>
  <c r="X24"/>
  <c r="X36"/>
  <c r="X38"/>
  <c r="X40"/>
  <c r="X52"/>
  <c r="X54"/>
  <c r="X56"/>
  <c r="X70"/>
  <c r="X72"/>
  <c r="X84"/>
  <c r="X88"/>
  <c r="X100"/>
  <c r="X104"/>
  <c r="X116"/>
  <c r="X120"/>
  <c r="X132"/>
  <c r="X136"/>
  <c r="X148"/>
  <c r="X8"/>
  <c r="X6"/>
  <c r="X4"/>
  <c r="X22"/>
  <c r="X20"/>
  <c r="V77"/>
  <c r="V84"/>
  <c r="N3"/>
  <c r="N4"/>
  <c r="N5"/>
  <c r="G12"/>
  <c r="G13"/>
  <c r="E14"/>
  <c r="G15"/>
  <c r="G16"/>
  <c r="G17"/>
  <c r="J20"/>
  <c r="K20"/>
  <c r="L20"/>
  <c r="M20"/>
  <c r="I24"/>
  <c r="I28"/>
  <c r="D30"/>
  <c r="D31"/>
  <c r="D34"/>
  <c r="D35"/>
  <c r="V39"/>
  <c r="V38"/>
  <c r="V91"/>
  <c r="U91"/>
  <c r="V12" l="1"/>
  <c r="U12"/>
  <c r="V151"/>
  <c r="U151"/>
  <c r="V143"/>
  <c r="U143"/>
  <c r="V135"/>
  <c r="U135"/>
  <c r="U75"/>
  <c r="V74"/>
  <c r="U74"/>
  <c r="V54"/>
  <c r="U54"/>
  <c r="U39"/>
  <c r="U38"/>
  <c r="U22"/>
  <c r="V6"/>
  <c r="U6"/>
  <c r="R28"/>
  <c r="Q24" i="6"/>
  <c r="Q20"/>
  <c r="P32" i="1"/>
  <c r="P28"/>
  <c r="G52" i="6"/>
  <c r="F52"/>
  <c r="E52"/>
  <c r="C52"/>
  <c r="B52"/>
  <c r="G51"/>
  <c r="F51"/>
  <c r="E51"/>
  <c r="B51"/>
  <c r="G50"/>
  <c r="F50"/>
  <c r="E50"/>
  <c r="B50"/>
  <c r="U68" i="7"/>
  <c r="S150"/>
  <c r="S134"/>
  <c r="S118"/>
  <c r="S102"/>
  <c r="X102" s="1"/>
  <c r="V159"/>
  <c r="U159"/>
  <c r="V158"/>
  <c r="U158"/>
  <c r="V157"/>
  <c r="U157"/>
  <c r="V156"/>
  <c r="U156"/>
  <c r="V155"/>
  <c r="U155"/>
  <c r="V154"/>
  <c r="U154"/>
  <c r="V153"/>
  <c r="U153"/>
  <c r="V152"/>
  <c r="U152"/>
  <c r="V149"/>
  <c r="U149"/>
  <c r="V148"/>
  <c r="U148"/>
  <c r="V142"/>
  <c r="U142"/>
  <c r="V141"/>
  <c r="U141"/>
  <c r="V140"/>
  <c r="U140"/>
  <c r="V139"/>
  <c r="U139"/>
  <c r="V138"/>
  <c r="U138"/>
  <c r="V137"/>
  <c r="U137"/>
  <c r="V136"/>
  <c r="U136"/>
  <c r="V133"/>
  <c r="U133"/>
  <c r="V132"/>
  <c r="U132"/>
  <c r="V127"/>
  <c r="U127"/>
  <c r="V126"/>
  <c r="U126"/>
  <c r="V125"/>
  <c r="U125"/>
  <c r="V124"/>
  <c r="U124"/>
  <c r="V123"/>
  <c r="U123"/>
  <c r="V122"/>
  <c r="U122"/>
  <c r="V121"/>
  <c r="U121"/>
  <c r="V120"/>
  <c r="U120"/>
  <c r="V119"/>
  <c r="U119"/>
  <c r="V117"/>
  <c r="U117"/>
  <c r="V116"/>
  <c r="U116"/>
  <c r="V111"/>
  <c r="U111"/>
  <c r="V110"/>
  <c r="U110"/>
  <c r="V109"/>
  <c r="U109"/>
  <c r="V108"/>
  <c r="U108"/>
  <c r="V107"/>
  <c r="U107"/>
  <c r="V106"/>
  <c r="U106"/>
  <c r="V105"/>
  <c r="U105"/>
  <c r="V104"/>
  <c r="U104"/>
  <c r="V103"/>
  <c r="U103"/>
  <c r="V102"/>
  <c r="U102"/>
  <c r="V101"/>
  <c r="U101"/>
  <c r="V100"/>
  <c r="U100"/>
  <c r="V95"/>
  <c r="U95"/>
  <c r="V94"/>
  <c r="U94"/>
  <c r="V93"/>
  <c r="U93"/>
  <c r="V92"/>
  <c r="U92"/>
  <c r="V90"/>
  <c r="U90"/>
  <c r="V89"/>
  <c r="U89"/>
  <c r="V88"/>
  <c r="U88"/>
  <c r="V87"/>
  <c r="U87"/>
  <c r="V86"/>
  <c r="U86"/>
  <c r="V85"/>
  <c r="U85"/>
  <c r="U84"/>
  <c r="V79"/>
  <c r="U79"/>
  <c r="V78"/>
  <c r="U78"/>
  <c r="U77"/>
  <c r="V76"/>
  <c r="U76"/>
  <c r="V73"/>
  <c r="U73"/>
  <c r="V72"/>
  <c r="U72"/>
  <c r="V71"/>
  <c r="U71"/>
  <c r="V70"/>
  <c r="U70"/>
  <c r="U69"/>
  <c r="V68"/>
  <c r="V63"/>
  <c r="U63"/>
  <c r="V62"/>
  <c r="U62"/>
  <c r="V61"/>
  <c r="U61"/>
  <c r="V60"/>
  <c r="U60"/>
  <c r="V59"/>
  <c r="U59"/>
  <c r="V58"/>
  <c r="U58"/>
  <c r="V57"/>
  <c r="U57"/>
  <c r="V56"/>
  <c r="U56"/>
  <c r="V55"/>
  <c r="U55"/>
  <c r="V53"/>
  <c r="U53"/>
  <c r="V52"/>
  <c r="U52"/>
  <c r="U47"/>
  <c r="V47"/>
  <c r="V46"/>
  <c r="U45"/>
  <c r="V45"/>
  <c r="U44"/>
  <c r="V43"/>
  <c r="U43"/>
  <c r="V42"/>
  <c r="V41"/>
  <c r="U41"/>
  <c r="V40"/>
  <c r="U40"/>
  <c r="V37"/>
  <c r="U37"/>
  <c r="V36"/>
  <c r="U36"/>
  <c r="U20"/>
  <c r="V20"/>
  <c r="U21"/>
  <c r="V21"/>
  <c r="V22"/>
  <c r="U23"/>
  <c r="V23"/>
  <c r="U24"/>
  <c r="V24"/>
  <c r="U25"/>
  <c r="V25"/>
  <c r="U26"/>
  <c r="V26"/>
  <c r="U27"/>
  <c r="V27"/>
  <c r="U28"/>
  <c r="U29"/>
  <c r="V29"/>
  <c r="U30"/>
  <c r="V30"/>
  <c r="U31"/>
  <c r="V31"/>
  <c r="V5"/>
  <c r="V7"/>
  <c r="V8"/>
  <c r="V9"/>
  <c r="V4"/>
  <c r="U5"/>
  <c r="U7"/>
  <c r="U8"/>
  <c r="U9"/>
  <c r="U4"/>
  <c r="R15"/>
  <c r="V15" s="1"/>
  <c r="R14"/>
  <c r="V14" s="1"/>
  <c r="R13"/>
  <c r="V13" s="1"/>
  <c r="R10"/>
  <c r="V10" s="1"/>
  <c r="R11"/>
  <c r="V11" s="1"/>
  <c r="U150" l="1"/>
  <c r="X150"/>
  <c r="U134"/>
  <c r="X134"/>
  <c r="V118"/>
  <c r="X118"/>
  <c r="U118"/>
  <c r="V150"/>
  <c r="U13"/>
  <c r="V134"/>
  <c r="U11"/>
  <c r="U14"/>
  <c r="U10"/>
  <c r="U15"/>
  <c r="U42"/>
  <c r="U46"/>
  <c r="V44"/>
  <c r="V28"/>
  <c r="AD16" i="6" l="1"/>
  <c r="X16"/>
  <c r="W16"/>
  <c r="V16"/>
  <c r="U16"/>
  <c r="T16"/>
  <c r="S16"/>
  <c r="R16"/>
  <c r="E34"/>
  <c r="D34"/>
  <c r="E33"/>
  <c r="D33"/>
  <c r="E32"/>
  <c r="D32"/>
  <c r="E31"/>
  <c r="D31"/>
  <c r="E30"/>
  <c r="D30"/>
  <c r="E29"/>
  <c r="D29"/>
  <c r="O11"/>
  <c r="O10"/>
  <c r="O13"/>
  <c r="O12"/>
  <c r="O9"/>
  <c r="O8"/>
  <c r="Q43"/>
  <c r="P43"/>
  <c r="O43"/>
  <c r="K43"/>
  <c r="I43"/>
  <c r="F43"/>
  <c r="D43"/>
  <c r="Q42"/>
  <c r="P42"/>
  <c r="O42"/>
  <c r="K42"/>
  <c r="J42"/>
  <c r="H42"/>
  <c r="F42"/>
  <c r="E42"/>
  <c r="D42"/>
  <c r="Q41"/>
  <c r="P41"/>
  <c r="O41"/>
  <c r="F41"/>
  <c r="D41"/>
  <c r="N21" i="1"/>
  <c r="N20"/>
  <c r="N17"/>
  <c r="N16"/>
  <c r="N19"/>
  <c r="N18"/>
  <c r="D42"/>
  <c r="D41"/>
  <c r="D40"/>
  <c r="D39"/>
  <c r="D38"/>
  <c r="D37"/>
  <c r="C42"/>
  <c r="C41"/>
  <c r="C40"/>
  <c r="C39"/>
  <c r="C38"/>
  <c r="C37"/>
  <c r="P8"/>
  <c r="P7"/>
  <c r="O8"/>
  <c r="O7"/>
  <c r="N7"/>
  <c r="Q7" s="1"/>
  <c r="N8"/>
  <c r="Q8" s="1"/>
  <c r="P9"/>
  <c r="O9"/>
  <c r="N9"/>
  <c r="Q9" s="1"/>
  <c r="J9"/>
  <c r="J8"/>
  <c r="I8"/>
  <c r="H9"/>
  <c r="G8"/>
  <c r="E9"/>
  <c r="E8"/>
  <c r="E7"/>
  <c r="D8"/>
  <c r="C7"/>
  <c r="C8"/>
  <c r="C9"/>
  <c r="O22" i="2"/>
  <c r="I22"/>
  <c r="H22"/>
  <c r="G22"/>
  <c r="F22"/>
  <c r="E22"/>
  <c r="D22"/>
  <c r="C22"/>
</calcChain>
</file>

<file path=xl/comments1.xml><?xml version="1.0" encoding="utf-8"?>
<comments xmlns="http://schemas.openxmlformats.org/spreadsheetml/2006/main">
  <authors>
    <author>ikbmlabm258admin</author>
  </authors>
  <commentList>
    <comment ref="K6" authorId="0">
      <text>
        <r>
          <rPr>
            <b/>
            <sz val="8"/>
            <color indexed="81"/>
            <rFont val="Tahoma"/>
            <family val="2"/>
          </rPr>
          <t>ikbmlabm258admin:</t>
        </r>
        <r>
          <rPr>
            <sz val="8"/>
            <color indexed="81"/>
            <rFont val="Tahoma"/>
            <family val="2"/>
          </rPr>
          <t xml:space="preserve">
kan være acetoin!</t>
        </r>
      </text>
    </comment>
    <comment ref="N19" authorId="0">
      <text>
        <r>
          <rPr>
            <b/>
            <sz val="8"/>
            <color indexed="81"/>
            <rFont val="Tahoma"/>
            <family val="2"/>
          </rPr>
          <t>ikbmlabm258admin:</t>
        </r>
        <r>
          <rPr>
            <sz val="8"/>
            <color indexed="81"/>
            <rFont val="Tahoma"/>
            <family val="2"/>
          </rPr>
          <t xml:space="preserve">
litt høy verdi, burde de ha vært fortynnet?
</t>
        </r>
      </text>
    </comment>
  </commentList>
</comments>
</file>

<file path=xl/comments2.xml><?xml version="1.0" encoding="utf-8"?>
<comments xmlns="http://schemas.openxmlformats.org/spreadsheetml/2006/main">
  <authors>
    <author>ikbmlabm258admin</author>
  </authors>
  <commentList>
    <comment ref="L1" authorId="0">
      <text>
        <r>
          <rPr>
            <b/>
            <sz val="8"/>
            <color indexed="81"/>
            <rFont val="Tahoma"/>
            <family val="2"/>
          </rPr>
          <t>ikbmlabm258admin:</t>
        </r>
        <r>
          <rPr>
            <sz val="8"/>
            <color indexed="81"/>
            <rFont val="Tahoma"/>
            <family val="2"/>
          </rPr>
          <t xml:space="preserve">
kan være acetoin!</t>
        </r>
      </text>
    </comment>
    <comment ref="O11" authorId="0">
      <text>
        <r>
          <rPr>
            <b/>
            <sz val="8"/>
            <color indexed="81"/>
            <rFont val="Tahoma"/>
            <family val="2"/>
          </rPr>
          <t>ikbmlabm258admin:</t>
        </r>
        <r>
          <rPr>
            <sz val="8"/>
            <color indexed="81"/>
            <rFont val="Tahoma"/>
            <family val="2"/>
          </rPr>
          <t xml:space="preserve">
litt høy verdi, burde de ha vært fortynnet?
</t>
        </r>
      </text>
    </comment>
  </commentList>
</comments>
</file>

<file path=xl/sharedStrings.xml><?xml version="1.0" encoding="utf-8"?>
<sst xmlns="http://schemas.openxmlformats.org/spreadsheetml/2006/main" count="1440" uniqueCount="136">
  <si>
    <t>Acetaldehyd</t>
  </si>
  <si>
    <t>Etanol</t>
  </si>
  <si>
    <t>Aceton</t>
  </si>
  <si>
    <t>2-methyl-propanal</t>
  </si>
  <si>
    <t>Diacetyl</t>
  </si>
  <si>
    <t>2-butanon</t>
  </si>
  <si>
    <t>2-butanol</t>
  </si>
  <si>
    <t>Ethylacetate</t>
  </si>
  <si>
    <t>2-methyl-1-propanol</t>
  </si>
  <si>
    <t>3-methyl-butanal</t>
  </si>
  <si>
    <t>2-methyl-butanal</t>
  </si>
  <si>
    <t>2.3-pentadione</t>
  </si>
  <si>
    <t>Acetoin</t>
  </si>
  <si>
    <t>3-methyl-1-butanol</t>
  </si>
  <si>
    <t>2-methyl-1-butanol</t>
  </si>
  <si>
    <t>Citric acid</t>
  </si>
  <si>
    <t>a-ketoglutaric acid</t>
  </si>
  <si>
    <t>Orotic acid</t>
  </si>
  <si>
    <t>Pyruvic acid</t>
  </si>
  <si>
    <t>Succinic acid</t>
  </si>
  <si>
    <t>Lactic acid</t>
  </si>
  <si>
    <t>Formic acid</t>
  </si>
  <si>
    <t>Uric acid</t>
  </si>
  <si>
    <t>Propionic acid</t>
  </si>
  <si>
    <t>DL-Pyroglutamic acid</t>
  </si>
  <si>
    <t>Acetic acid</t>
  </si>
  <si>
    <t>n.d.</t>
  </si>
  <si>
    <t>Lactose</t>
  </si>
  <si>
    <t>Glucose</t>
  </si>
  <si>
    <t>Galactose</t>
  </si>
  <si>
    <t>D = type 3 pulver (60 % totalprotein, hvorav 32 % kasein og 68 % myseprotein)</t>
  </si>
  <si>
    <t>C = SMP (37 % totalprotein)</t>
  </si>
  <si>
    <t>A = type 1 pulver (83 % totalprotein, hvorav 77 % kasein og 23 % myseprotein)</t>
  </si>
  <si>
    <t xml:space="preserve">Innhold av organiske syrer (ppm) og karbohydrater (ppm) i proteinpulver A, C og D, nullprøver til gjentak 3 og av ferske og lagrede prøver fra gjentak 1, 2 og 3. </t>
  </si>
  <si>
    <t>AUF. G1</t>
  </si>
  <si>
    <t>ATF. G1</t>
  </si>
  <si>
    <t>CUF. G1</t>
  </si>
  <si>
    <t>CTF. G1</t>
  </si>
  <si>
    <t>DUF. G1</t>
  </si>
  <si>
    <t>DTF. G1</t>
  </si>
  <si>
    <t>AUF. G2</t>
  </si>
  <si>
    <t>ATF. G2</t>
  </si>
  <si>
    <t>CUF. G2</t>
  </si>
  <si>
    <t>CTF. G2</t>
  </si>
  <si>
    <t>DUF. G2</t>
  </si>
  <si>
    <t>DTF. G2</t>
  </si>
  <si>
    <t>DUF. G3</t>
  </si>
  <si>
    <t>DTF. G3</t>
  </si>
  <si>
    <t>CUF. G3</t>
  </si>
  <si>
    <t>CTF. G3</t>
  </si>
  <si>
    <t>AUF. G3</t>
  </si>
  <si>
    <t>ATF. G3</t>
  </si>
  <si>
    <t>Pulver D</t>
  </si>
  <si>
    <t>Pulver A</t>
  </si>
  <si>
    <t>Pulver C</t>
  </si>
  <si>
    <t>Prøve</t>
  </si>
  <si>
    <t xml:space="preserve">Innhold av aromastoffer (ppm) i melkeblanding A, C og D til gjentak 3 og i ferske og lagrede prøver fra gjentak 1, 2 og 3. </t>
  </si>
  <si>
    <t>Aromastoffer (ppm)</t>
  </si>
  <si>
    <t>Nullprøve A. G3</t>
  </si>
  <si>
    <t>Nullprøve C. G3</t>
  </si>
  <si>
    <t>Nullprøve D. G3</t>
  </si>
  <si>
    <t>CUF. G2,</t>
  </si>
  <si>
    <t>AUS. G1</t>
  </si>
  <si>
    <t>ATS. G1</t>
  </si>
  <si>
    <t>CUS. G1</t>
  </si>
  <si>
    <t>CTS. G1</t>
  </si>
  <si>
    <t>DUS. G1</t>
  </si>
  <si>
    <t>DTS. G1</t>
  </si>
  <si>
    <t>Nullprøve A, C og D fra G3 er prøver fra melkeblanding A, C og D fra G3 rett før poding</t>
  </si>
  <si>
    <t>Prøver som det ble veid inn 0,5 g prøve i stedet for 1,0 g ved innveiing til HPLC er ganget med 2, pga denne fortynningen.</t>
  </si>
  <si>
    <r>
      <t xml:space="preserve">For </t>
    </r>
    <r>
      <rPr>
        <sz val="11"/>
        <color rgb="FFFF0000"/>
        <rFont val="Calibri"/>
        <family val="2"/>
        <scheme val="minor"/>
      </rPr>
      <t>F.G3, S.G1</t>
    </r>
    <r>
      <rPr>
        <sz val="11"/>
        <color theme="1"/>
        <rFont val="Calibri"/>
        <family val="2"/>
        <scheme val="minor"/>
      </rPr>
      <t xml:space="preserve">, </t>
    </r>
    <r>
      <rPr>
        <sz val="11"/>
        <color rgb="FFFF0000"/>
        <rFont val="Calibri"/>
        <family val="2"/>
        <scheme val="minor"/>
      </rPr>
      <t>S.G2 og S.G3</t>
    </r>
    <r>
      <rPr>
        <sz val="11"/>
        <color theme="1"/>
        <rFont val="Calibri"/>
        <family val="2"/>
        <scheme val="minor"/>
      </rPr>
      <t xml:space="preserve"> prøvene ble det veid inn 0,5 g av dipp-prøven og 3,0 mL milliq vann og videre som beskrevet i prosedyren (dette pga laktoseinnholdet i prøvene var så høyt og HPLC maskinen klarer å analysere laktoseinnhold opp til 5 % bare)</t>
    </r>
  </si>
  <si>
    <r>
      <t xml:space="preserve">Til inveiing av </t>
    </r>
    <r>
      <rPr>
        <sz val="11"/>
        <color rgb="FFFF0000"/>
        <rFont val="Calibri"/>
        <family val="2"/>
        <scheme val="minor"/>
      </rPr>
      <t xml:space="preserve">pulver </t>
    </r>
    <r>
      <rPr>
        <sz val="11"/>
        <color theme="1"/>
        <rFont val="Calibri"/>
        <family val="2"/>
        <scheme val="minor"/>
      </rPr>
      <t xml:space="preserve">til HPLC ble det brukt 1 % løsning av pulverene i vann (1,0 g pulver og 99,0 g destillert vann). Resultater fra HPLC analyse av pulverene er derfor ganget med 100 pga denne fortynningen. </t>
    </r>
  </si>
  <si>
    <r>
      <t xml:space="preserve">Det ble veid inn 5.00 g av </t>
    </r>
    <r>
      <rPr>
        <b/>
        <sz val="11"/>
        <color rgb="FFFF0000"/>
        <rFont val="Calibri"/>
        <family val="2"/>
        <scheme val="minor"/>
      </rPr>
      <t>CUF.G2</t>
    </r>
    <r>
      <rPr>
        <b/>
        <sz val="11"/>
        <rFont val="Calibri"/>
        <family val="2"/>
        <scheme val="minor"/>
      </rPr>
      <t xml:space="preserve"> i stedet for 10,00g pga prøven "skummet/boblet" over i glasset. Resultatet for HSGS av CUF.G2 er derfor ganget med 2.</t>
    </r>
  </si>
  <si>
    <t>Organiske syrer (ppm.)</t>
  </si>
  <si>
    <t>Karbohydrater (ppm.)</t>
  </si>
  <si>
    <t>AUS G2</t>
  </si>
  <si>
    <t>ATS G2</t>
  </si>
  <si>
    <t>CUS G2</t>
  </si>
  <si>
    <t>CTS G2</t>
  </si>
  <si>
    <t>DUS G2</t>
  </si>
  <si>
    <t>DTS G2</t>
  </si>
  <si>
    <t>G = produksjonsgjentak</t>
  </si>
  <si>
    <t>U = kultur CHN-11</t>
  </si>
  <si>
    <t>T = tettekultur</t>
  </si>
  <si>
    <t>F = fersk prøve</t>
  </si>
  <si>
    <t>S = lagret prøve (3 uker)</t>
  </si>
  <si>
    <t>Laktose (%)</t>
  </si>
  <si>
    <t xml:space="preserve"> </t>
  </si>
  <si>
    <t>AUS. G3</t>
  </si>
  <si>
    <t>ATS. G3</t>
  </si>
  <si>
    <t>CUS. G3</t>
  </si>
  <si>
    <t>CTS. G3</t>
  </si>
  <si>
    <t>DUS. G3</t>
  </si>
  <si>
    <t>DTS. G3</t>
  </si>
  <si>
    <r>
      <rPr>
        <sz val="11"/>
        <color rgb="FFFF0000"/>
        <rFont val="Calibri"/>
        <family val="2"/>
        <scheme val="minor"/>
      </rPr>
      <t>CUF.G3</t>
    </r>
    <r>
      <rPr>
        <sz val="11"/>
        <color theme="1"/>
        <rFont val="Calibri"/>
        <family val="2"/>
        <scheme val="minor"/>
      </rPr>
      <t xml:space="preserve"> prøven skummet også litt, men ikke i like mye som i </t>
    </r>
    <r>
      <rPr>
        <sz val="11"/>
        <color rgb="FFFF0000"/>
        <rFont val="Calibri"/>
        <family val="2"/>
        <scheme val="minor"/>
      </rPr>
      <t>CUF.G2</t>
    </r>
    <r>
      <rPr>
        <sz val="11"/>
        <color theme="1"/>
        <rFont val="Calibri"/>
        <family val="2"/>
        <scheme val="minor"/>
      </rPr>
      <t xml:space="preserve"> prøven, prøvetaking ble derfor gjort slik som alle andre prøver, ved å ta ut 10 g prøve.</t>
    </r>
  </si>
  <si>
    <t>Gjentak</t>
  </si>
  <si>
    <t>G1</t>
  </si>
  <si>
    <t>G2</t>
  </si>
  <si>
    <t>G3</t>
  </si>
  <si>
    <t>Lagring</t>
  </si>
  <si>
    <t>F</t>
  </si>
  <si>
    <t>S</t>
  </si>
  <si>
    <t>Nullprøve A</t>
  </si>
  <si>
    <t>Nullprøve C</t>
  </si>
  <si>
    <t>Nullprøve D</t>
  </si>
  <si>
    <t>AU</t>
  </si>
  <si>
    <t>AT</t>
  </si>
  <si>
    <t>CU</t>
  </si>
  <si>
    <t>CT</t>
  </si>
  <si>
    <t>DU</t>
  </si>
  <si>
    <t>DT</t>
  </si>
  <si>
    <t>a-ketoglutaratsyre</t>
  </si>
  <si>
    <t>Orotinsyre</t>
  </si>
  <si>
    <t>Pyrodruesyre</t>
  </si>
  <si>
    <t>Melkesyre</t>
  </si>
  <si>
    <t>Maursyre</t>
  </si>
  <si>
    <t>Urinsyre</t>
  </si>
  <si>
    <t>Propionsyre</t>
  </si>
  <si>
    <t>DL-pyroglutaminsyre</t>
  </si>
  <si>
    <t>Edikksyre</t>
  </si>
  <si>
    <t>Ravsyre</t>
  </si>
  <si>
    <t>Laktose</t>
  </si>
  <si>
    <t>Glukose</t>
  </si>
  <si>
    <t>Galaktose</t>
  </si>
  <si>
    <t>2.3-pentadion</t>
  </si>
  <si>
    <t>n.d: ikke detektert</t>
  </si>
  <si>
    <t>Sitronsyre</t>
  </si>
  <si>
    <t>Gj.snitt</t>
  </si>
  <si>
    <t>St.avvik</t>
  </si>
  <si>
    <t>Eddiksyre</t>
  </si>
  <si>
    <t>Gj.snitt ferske pulver prøver</t>
  </si>
  <si>
    <t>AT &gt; AU</t>
  </si>
  <si>
    <t>CU &gt; CT</t>
  </si>
  <si>
    <t>DU &gt; DT</t>
  </si>
  <si>
    <t>CT &gt; CU</t>
  </si>
  <si>
    <t>DT &gt; DU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</si>
</sst>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16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5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05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0" fontId="0" fillId="0" borderId="0" xfId="0" applyBorder="1"/>
    <xf numFmtId="0" fontId="1" fillId="0" borderId="0" xfId="0" applyFont="1" applyBorder="1" applyAlignment="1">
      <alignment horizontal="center"/>
    </xf>
    <xf numFmtId="0" fontId="1" fillId="0" borderId="0" xfId="0" applyFont="1"/>
    <xf numFmtId="0" fontId="5" fillId="0" borderId="0" xfId="0" applyFont="1"/>
    <xf numFmtId="0" fontId="0" fillId="0" borderId="0" xfId="0" applyFill="1" applyBorder="1"/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7" fillId="0" borderId="0" xfId="0" applyFont="1" applyAlignment="1">
      <alignment horizontal="left"/>
    </xf>
    <xf numFmtId="2" fontId="0" fillId="0" borderId="0" xfId="0" applyNumberFormat="1" applyFill="1" applyBorder="1" applyAlignment="1">
      <alignment horizontal="left"/>
    </xf>
    <xf numFmtId="2" fontId="0" fillId="0" borderId="0" xfId="0" applyNumberFormat="1"/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2" fontId="0" fillId="0" borderId="0" xfId="0" applyNumberFormat="1" applyAlignment="1">
      <alignment horizontal="right"/>
    </xf>
    <xf numFmtId="2" fontId="5" fillId="0" borderId="8" xfId="0" applyNumberFormat="1" applyFont="1" applyBorder="1" applyAlignment="1">
      <alignment horizontal="right"/>
    </xf>
    <xf numFmtId="2" fontId="5" fillId="0" borderId="0" xfId="0" applyNumberFormat="1" applyFont="1" applyBorder="1" applyAlignment="1">
      <alignment horizontal="right"/>
    </xf>
    <xf numFmtId="2" fontId="0" fillId="0" borderId="0" xfId="0" applyNumberFormat="1" applyBorder="1" applyAlignment="1">
      <alignment horizontal="right"/>
    </xf>
    <xf numFmtId="2" fontId="5" fillId="0" borderId="10" xfId="0" applyNumberFormat="1" applyFont="1" applyBorder="1" applyAlignment="1">
      <alignment horizontal="right"/>
    </xf>
    <xf numFmtId="2" fontId="5" fillId="0" borderId="3" xfId="0" applyNumberFormat="1" applyFont="1" applyBorder="1" applyAlignment="1">
      <alignment horizontal="right"/>
    </xf>
    <xf numFmtId="0" fontId="0" fillId="0" borderId="0" xfId="0" applyBorder="1" applyAlignment="1">
      <alignment horizontal="right"/>
    </xf>
    <xf numFmtId="2" fontId="5" fillId="0" borderId="5" xfId="0" applyNumberFormat="1" applyFont="1" applyBorder="1" applyAlignment="1">
      <alignment horizontal="right"/>
    </xf>
    <xf numFmtId="2" fontId="5" fillId="0" borderId="6" xfId="0" applyNumberFormat="1" applyFont="1" applyBorder="1" applyAlignment="1">
      <alignment horizontal="right"/>
    </xf>
    <xf numFmtId="2" fontId="0" fillId="0" borderId="6" xfId="0" applyNumberFormat="1" applyBorder="1" applyAlignment="1">
      <alignment horizontal="right"/>
    </xf>
    <xf numFmtId="0" fontId="2" fillId="0" borderId="0" xfId="0" applyFont="1" applyAlignment="1">
      <alignment horizontal="center"/>
    </xf>
    <xf numFmtId="0" fontId="5" fillId="0" borderId="13" xfId="0" applyFont="1" applyBorder="1" applyAlignment="1">
      <alignment horizontal="center"/>
    </xf>
    <xf numFmtId="0" fontId="2" fillId="0" borderId="0" xfId="0" applyFont="1" applyFill="1" applyAlignment="1">
      <alignment horizontal="right"/>
    </xf>
    <xf numFmtId="0" fontId="2" fillId="0" borderId="0" xfId="0" applyFont="1" applyFill="1" applyBorder="1" applyAlignment="1">
      <alignment horizontal="right"/>
    </xf>
    <xf numFmtId="2" fontId="5" fillId="0" borderId="0" xfId="0" applyNumberFormat="1" applyFont="1" applyFill="1" applyBorder="1" applyAlignment="1">
      <alignment horizontal="right"/>
    </xf>
    <xf numFmtId="2" fontId="0" fillId="0" borderId="0" xfId="0" applyNumberFormat="1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0" fillId="0" borderId="0" xfId="0" applyFill="1" applyAlignment="1">
      <alignment horizontal="right"/>
    </xf>
    <xf numFmtId="0" fontId="5" fillId="0" borderId="0" xfId="0" applyFont="1" applyAlignment="1">
      <alignment horizontal="left"/>
    </xf>
    <xf numFmtId="2" fontId="5" fillId="0" borderId="6" xfId="0" applyNumberFormat="1" applyFont="1" applyFill="1" applyBorder="1" applyAlignment="1">
      <alignment horizontal="right"/>
    </xf>
    <xf numFmtId="2" fontId="5" fillId="0" borderId="3" xfId="0" applyNumberFormat="1" applyFont="1" applyFill="1" applyBorder="1" applyAlignment="1">
      <alignment horizontal="right"/>
    </xf>
    <xf numFmtId="0" fontId="5" fillId="0" borderId="6" xfId="0" applyFont="1" applyBorder="1" applyAlignment="1">
      <alignment horizontal="right"/>
    </xf>
    <xf numFmtId="0" fontId="5" fillId="0" borderId="6" xfId="0" applyFont="1" applyFill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0" fontId="5" fillId="0" borderId="3" xfId="0" applyFont="1" applyBorder="1" applyAlignment="1">
      <alignment horizontal="right"/>
    </xf>
    <xf numFmtId="0" fontId="5" fillId="0" borderId="3" xfId="0" applyFont="1" applyFill="1" applyBorder="1" applyAlignment="1">
      <alignment horizontal="right"/>
    </xf>
    <xf numFmtId="0" fontId="5" fillId="0" borderId="12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2" fontId="5" fillId="0" borderId="13" xfId="0" applyNumberFormat="1" applyFont="1" applyBorder="1" applyAlignment="1">
      <alignment horizontal="center"/>
    </xf>
    <xf numFmtId="2" fontId="0" fillId="0" borderId="6" xfId="0" applyNumberFormat="1" applyFill="1" applyBorder="1" applyAlignment="1">
      <alignment horizontal="right"/>
    </xf>
    <xf numFmtId="2" fontId="0" fillId="0" borderId="3" xfId="0" applyNumberFormat="1" applyFill="1" applyBorder="1" applyAlignment="1">
      <alignment horizontal="right"/>
    </xf>
    <xf numFmtId="2" fontId="5" fillId="0" borderId="7" xfId="0" applyNumberFormat="1" applyFont="1" applyFill="1" applyBorder="1" applyAlignment="1">
      <alignment horizontal="right"/>
    </xf>
    <xf numFmtId="2" fontId="5" fillId="0" borderId="9" xfId="0" applyNumberFormat="1" applyFont="1" applyFill="1" applyBorder="1" applyAlignment="1">
      <alignment horizontal="right"/>
    </xf>
    <xf numFmtId="2" fontId="5" fillId="0" borderId="11" xfId="0" applyNumberFormat="1" applyFont="1" applyFill="1" applyBorder="1" applyAlignment="1">
      <alignment horizontal="right"/>
    </xf>
    <xf numFmtId="2" fontId="1" fillId="0" borderId="0" xfId="0" applyNumberFormat="1" applyFont="1"/>
    <xf numFmtId="0" fontId="0" fillId="0" borderId="0" xfId="0" applyAlignment="1">
      <alignment horizontal="left" vertical="center"/>
    </xf>
    <xf numFmtId="2" fontId="2" fillId="0" borderId="0" xfId="0" applyNumberFormat="1" applyFont="1" applyFill="1" applyBorder="1" applyAlignment="1">
      <alignment horizontal="left"/>
    </xf>
    <xf numFmtId="2" fontId="5" fillId="0" borderId="8" xfId="0" applyNumberFormat="1" applyFont="1" applyFill="1" applyBorder="1" applyAlignment="1">
      <alignment horizontal="right"/>
    </xf>
    <xf numFmtId="2" fontId="5" fillId="0" borderId="5" xfId="0" applyNumberFormat="1" applyFont="1" applyFill="1" applyBorder="1" applyAlignment="1">
      <alignment horizontal="right"/>
    </xf>
    <xf numFmtId="2" fontId="0" fillId="0" borderId="7" xfId="0" applyNumberFormat="1" applyFill="1" applyBorder="1" applyAlignment="1">
      <alignment horizontal="right"/>
    </xf>
    <xf numFmtId="2" fontId="0" fillId="0" borderId="9" xfId="0" applyNumberFormat="1" applyFill="1" applyBorder="1" applyAlignment="1">
      <alignment horizontal="right"/>
    </xf>
    <xf numFmtId="2" fontId="5" fillId="0" borderId="10" xfId="0" applyNumberFormat="1" applyFont="1" applyFill="1" applyBorder="1" applyAlignment="1">
      <alignment horizontal="right"/>
    </xf>
    <xf numFmtId="2" fontId="0" fillId="0" borderId="11" xfId="0" applyNumberFormat="1" applyFill="1" applyBorder="1" applyAlignment="1">
      <alignment horizontal="right"/>
    </xf>
    <xf numFmtId="0" fontId="5" fillId="0" borderId="9" xfId="0" applyFont="1" applyFill="1" applyBorder="1" applyAlignment="1">
      <alignment horizontal="right"/>
    </xf>
    <xf numFmtId="0" fontId="5" fillId="0" borderId="11" xfId="0" applyFont="1" applyFill="1" applyBorder="1" applyAlignment="1">
      <alignment horizontal="right"/>
    </xf>
    <xf numFmtId="2" fontId="0" fillId="0" borderId="5" xfId="0" applyNumberFormat="1" applyFill="1" applyBorder="1" applyAlignment="1">
      <alignment horizontal="right"/>
    </xf>
    <xf numFmtId="2" fontId="0" fillId="0" borderId="8" xfId="0" applyNumberFormat="1" applyFill="1" applyBorder="1" applyAlignment="1">
      <alignment horizontal="right"/>
    </xf>
    <xf numFmtId="2" fontId="0" fillId="0" borderId="10" xfId="0" applyNumberFormat="1" applyFill="1" applyBorder="1" applyAlignment="1">
      <alignment horizontal="right"/>
    </xf>
    <xf numFmtId="0" fontId="0" fillId="0" borderId="0" xfId="0" applyFill="1"/>
    <xf numFmtId="2" fontId="0" fillId="0" borderId="0" xfId="0" applyNumberFormat="1" applyFill="1"/>
    <xf numFmtId="0" fontId="5" fillId="0" borderId="12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5" fillId="0" borderId="0" xfId="0" applyFont="1" applyFill="1" applyBorder="1" applyAlignment="1">
      <alignment horizontal="center"/>
    </xf>
    <xf numFmtId="2" fontId="0" fillId="0" borderId="0" xfId="0" applyNumberFormat="1" applyFill="1" applyBorder="1"/>
    <xf numFmtId="0" fontId="7" fillId="2" borderId="4" xfId="0" applyFont="1" applyFill="1" applyBorder="1" applyAlignment="1">
      <alignment horizontal="center"/>
    </xf>
    <xf numFmtId="0" fontId="2" fillId="2" borderId="4" xfId="0" applyFont="1" applyFill="1" applyBorder="1"/>
    <xf numFmtId="2" fontId="5" fillId="0" borderId="14" xfId="0" applyNumberFormat="1" applyFont="1" applyBorder="1" applyAlignment="1">
      <alignment horizontal="center"/>
    </xf>
    <xf numFmtId="2" fontId="0" fillId="0" borderId="0" xfId="0" applyNumberFormat="1" applyFill="1" applyAlignment="1">
      <alignment horizontal="right"/>
    </xf>
    <xf numFmtId="2" fontId="7" fillId="2" borderId="4" xfId="0" applyNumberFormat="1" applyFont="1" applyFill="1" applyBorder="1" applyAlignment="1">
      <alignment horizontal="center"/>
    </xf>
    <xf numFmtId="2" fontId="5" fillId="0" borderId="12" xfId="0" applyNumberFormat="1" applyFont="1" applyBorder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2" fontId="7" fillId="2" borderId="15" xfId="0" applyNumberFormat="1" applyFont="1" applyFill="1" applyBorder="1" applyAlignment="1">
      <alignment horizontal="center"/>
    </xf>
    <xf numFmtId="2" fontId="7" fillId="2" borderId="16" xfId="0" applyNumberFormat="1" applyFont="1" applyFill="1" applyBorder="1" applyAlignment="1">
      <alignment horizontal="center"/>
    </xf>
    <xf numFmtId="2" fontId="5" fillId="0" borderId="4" xfId="0" applyNumberFormat="1" applyFont="1" applyFill="1" applyBorder="1" applyAlignment="1">
      <alignment horizontal="right"/>
    </xf>
    <xf numFmtId="0" fontId="0" fillId="0" borderId="0" xfId="0" applyFill="1" applyBorder="1" applyAlignment="1">
      <alignment horizontal="center"/>
    </xf>
    <xf numFmtId="0" fontId="1" fillId="0" borderId="0" xfId="0" applyFont="1" applyFill="1"/>
    <xf numFmtId="0" fontId="5" fillId="0" borderId="8" xfId="0" applyFont="1" applyFill="1" applyBorder="1" applyAlignment="1">
      <alignment horizontal="right"/>
    </xf>
    <xf numFmtId="0" fontId="5" fillId="0" borderId="10" xfId="0" applyFont="1" applyFill="1" applyBorder="1" applyAlignment="1">
      <alignment horizontal="right"/>
    </xf>
    <xf numFmtId="0" fontId="0" fillId="0" borderId="13" xfId="0" applyFill="1" applyBorder="1"/>
    <xf numFmtId="0" fontId="0" fillId="0" borderId="14" xfId="0" applyFill="1" applyBorder="1"/>
    <xf numFmtId="2" fontId="2" fillId="2" borderId="4" xfId="0" applyNumberFormat="1" applyFont="1" applyFill="1" applyBorder="1" applyAlignment="1">
      <alignment horizontal="left"/>
    </xf>
    <xf numFmtId="2" fontId="0" fillId="0" borderId="13" xfId="0" applyNumberFormat="1" applyBorder="1"/>
    <xf numFmtId="2" fontId="0" fillId="0" borderId="14" xfId="0" applyNumberFormat="1" applyBorder="1"/>
    <xf numFmtId="0" fontId="0" fillId="0" borderId="12" xfId="0" applyFill="1" applyBorder="1"/>
    <xf numFmtId="2" fontId="7" fillId="2" borderId="4" xfId="0" applyNumberFormat="1" applyFont="1" applyFill="1" applyBorder="1" applyAlignment="1">
      <alignment horizontal="right"/>
    </xf>
    <xf numFmtId="1" fontId="0" fillId="0" borderId="0" xfId="0" applyNumberFormat="1" applyFill="1" applyAlignment="1">
      <alignment horizontal="right"/>
    </xf>
    <xf numFmtId="1" fontId="2" fillId="0" borderId="0" xfId="0" applyNumberFormat="1" applyFont="1" applyFill="1" applyBorder="1" applyAlignment="1">
      <alignment horizontal="right"/>
    </xf>
    <xf numFmtId="1" fontId="0" fillId="0" borderId="0" xfId="0" applyNumberFormat="1" applyAlignment="1">
      <alignment horizontal="right"/>
    </xf>
    <xf numFmtId="1" fontId="7" fillId="2" borderId="12" xfId="0" applyNumberFormat="1" applyFont="1" applyFill="1" applyBorder="1" applyAlignment="1">
      <alignment horizontal="right"/>
    </xf>
    <xf numFmtId="1" fontId="7" fillId="2" borderId="6" xfId="0" applyNumberFormat="1" applyFont="1" applyFill="1" applyBorder="1" applyAlignment="1">
      <alignment horizontal="right"/>
    </xf>
    <xf numFmtId="1" fontId="7" fillId="2" borderId="16" xfId="0" applyNumberFormat="1" applyFont="1" applyFill="1" applyBorder="1" applyAlignment="1">
      <alignment horizontal="right"/>
    </xf>
    <xf numFmtId="1" fontId="5" fillId="0" borderId="8" xfId="0" applyNumberFormat="1" applyFont="1" applyFill="1" applyBorder="1" applyAlignment="1">
      <alignment horizontal="right"/>
    </xf>
    <xf numFmtId="1" fontId="5" fillId="0" borderId="13" xfId="0" applyNumberFormat="1" applyFont="1" applyFill="1" applyBorder="1" applyAlignment="1">
      <alignment horizontal="right"/>
    </xf>
    <xf numFmtId="1" fontId="0" fillId="0" borderId="0" xfId="0" applyNumberFormat="1" applyFill="1" applyBorder="1" applyAlignment="1">
      <alignment horizontal="right"/>
    </xf>
    <xf numFmtId="1" fontId="5" fillId="0" borderId="10" xfId="0" applyNumberFormat="1" applyFont="1" applyFill="1" applyBorder="1" applyAlignment="1">
      <alignment horizontal="right"/>
    </xf>
    <xf numFmtId="1" fontId="5" fillId="0" borderId="5" xfId="0" applyNumberFormat="1" applyFont="1" applyFill="1" applyBorder="1" applyAlignment="1">
      <alignment horizontal="right"/>
    </xf>
    <xf numFmtId="1" fontId="5" fillId="0" borderId="6" xfId="0" applyNumberFormat="1" applyFont="1" applyFill="1" applyBorder="1" applyAlignment="1">
      <alignment horizontal="right"/>
    </xf>
    <xf numFmtId="1" fontId="5" fillId="0" borderId="0" xfId="0" applyNumberFormat="1" applyFont="1" applyFill="1" applyBorder="1" applyAlignment="1">
      <alignment horizontal="right"/>
    </xf>
    <xf numFmtId="1" fontId="5" fillId="0" borderId="3" xfId="0" applyNumberFormat="1" applyFont="1" applyFill="1" applyBorder="1" applyAlignment="1">
      <alignment horizontal="right"/>
    </xf>
    <xf numFmtId="1" fontId="5" fillId="0" borderId="7" xfId="0" applyNumberFormat="1" applyFont="1" applyFill="1" applyBorder="1" applyAlignment="1">
      <alignment horizontal="right"/>
    </xf>
    <xf numFmtId="1" fontId="5" fillId="0" borderId="9" xfId="0" applyNumberFormat="1" applyFont="1" applyFill="1" applyBorder="1" applyAlignment="1">
      <alignment horizontal="right"/>
    </xf>
    <xf numFmtId="1" fontId="5" fillId="0" borderId="11" xfId="0" applyNumberFormat="1" applyFont="1" applyFill="1" applyBorder="1" applyAlignment="1">
      <alignment horizontal="right"/>
    </xf>
    <xf numFmtId="1" fontId="5" fillId="0" borderId="12" xfId="0" applyNumberFormat="1" applyFont="1" applyFill="1" applyBorder="1" applyAlignment="1">
      <alignment horizontal="right"/>
    </xf>
    <xf numFmtId="1" fontId="0" fillId="0" borderId="6" xfId="0" applyNumberFormat="1" applyFill="1" applyBorder="1" applyAlignment="1">
      <alignment horizontal="right"/>
    </xf>
    <xf numFmtId="1" fontId="5" fillId="0" borderId="13" xfId="0" applyNumberFormat="1" applyFont="1" applyBorder="1" applyAlignment="1">
      <alignment horizontal="right"/>
    </xf>
    <xf numFmtId="1" fontId="0" fillId="0" borderId="5" xfId="0" applyNumberFormat="1" applyFill="1" applyBorder="1" applyAlignment="1">
      <alignment horizontal="right"/>
    </xf>
    <xf numFmtId="1" fontId="0" fillId="0" borderId="7" xfId="0" applyNumberFormat="1" applyFill="1" applyBorder="1" applyAlignment="1">
      <alignment horizontal="right"/>
    </xf>
    <xf numFmtId="1" fontId="0" fillId="0" borderId="8" xfId="0" applyNumberFormat="1" applyFill="1" applyBorder="1" applyAlignment="1">
      <alignment horizontal="right"/>
    </xf>
    <xf numFmtId="1" fontId="0" fillId="0" borderId="9" xfId="0" applyNumberFormat="1" applyFill="1" applyBorder="1" applyAlignment="1">
      <alignment horizontal="right"/>
    </xf>
    <xf numFmtId="1" fontId="0" fillId="0" borderId="10" xfId="0" applyNumberFormat="1" applyFill="1" applyBorder="1" applyAlignment="1">
      <alignment horizontal="right"/>
    </xf>
    <xf numFmtId="1" fontId="0" fillId="0" borderId="11" xfId="0" applyNumberFormat="1" applyFill="1" applyBorder="1" applyAlignment="1">
      <alignment horizontal="right"/>
    </xf>
    <xf numFmtId="1" fontId="0" fillId="0" borderId="3" xfId="0" applyNumberFormat="1" applyFill="1" applyBorder="1" applyAlignment="1">
      <alignment horizontal="right"/>
    </xf>
    <xf numFmtId="1" fontId="0" fillId="0" borderId="0" xfId="0" applyNumberFormat="1"/>
    <xf numFmtId="1" fontId="2" fillId="2" borderId="15" xfId="0" applyNumberFormat="1" applyFont="1" applyFill="1" applyBorder="1" applyAlignment="1">
      <alignment horizontal="right"/>
    </xf>
    <xf numFmtId="1" fontId="2" fillId="2" borderId="16" xfId="0" applyNumberFormat="1" applyFont="1" applyFill="1" applyBorder="1" applyAlignment="1">
      <alignment horizontal="right"/>
    </xf>
    <xf numFmtId="1" fontId="2" fillId="2" borderId="17" xfId="0" applyNumberFormat="1" applyFont="1" applyFill="1" applyBorder="1" applyAlignment="1">
      <alignment horizontal="right"/>
    </xf>
    <xf numFmtId="1" fontId="2" fillId="2" borderId="5" xfId="0" applyNumberFormat="1" applyFont="1" applyFill="1" applyBorder="1" applyAlignment="1">
      <alignment horizontal="left"/>
    </xf>
    <xf numFmtId="1" fontId="2" fillId="2" borderId="6" xfId="0" applyNumberFormat="1" applyFont="1" applyFill="1" applyBorder="1" applyAlignment="1">
      <alignment horizontal="left"/>
    </xf>
    <xf numFmtId="1" fontId="2" fillId="2" borderId="7" xfId="0" applyNumberFormat="1" applyFont="1" applyFill="1" applyBorder="1" applyAlignment="1">
      <alignment horizontal="left"/>
    </xf>
    <xf numFmtId="1" fontId="5" fillId="0" borderId="0" xfId="0" applyNumberFormat="1" applyFont="1" applyBorder="1" applyAlignment="1">
      <alignment horizontal="right"/>
    </xf>
    <xf numFmtId="1" fontId="0" fillId="0" borderId="0" xfId="0" applyNumberFormat="1" applyFill="1"/>
    <xf numFmtId="1" fontId="0" fillId="0" borderId="0" xfId="0" applyNumberFormat="1" applyFill="1" applyBorder="1"/>
    <xf numFmtId="1" fontId="2" fillId="0" borderId="0" xfId="0" applyNumberFormat="1" applyFont="1" applyFill="1" applyBorder="1" applyAlignment="1">
      <alignment horizontal="left"/>
    </xf>
    <xf numFmtId="2" fontId="2" fillId="2" borderId="4" xfId="0" applyNumberFormat="1" applyFont="1" applyFill="1" applyBorder="1" applyAlignment="1">
      <alignment horizontal="right"/>
    </xf>
    <xf numFmtId="0" fontId="2" fillId="2" borderId="4" xfId="0" applyFont="1" applyFill="1" applyBorder="1" applyAlignment="1">
      <alignment horizontal="right"/>
    </xf>
    <xf numFmtId="2" fontId="0" fillId="0" borderId="4" xfId="0" applyNumberFormat="1" applyFill="1" applyBorder="1" applyAlignment="1">
      <alignment horizontal="right"/>
    </xf>
    <xf numFmtId="0" fontId="5" fillId="0" borderId="4" xfId="0" applyFont="1" applyFill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2" fontId="5" fillId="0" borderId="13" xfId="0" applyNumberFormat="1" applyFont="1" applyFill="1" applyBorder="1" applyAlignment="1">
      <alignment horizontal="center"/>
    </xf>
    <xf numFmtId="0" fontId="0" fillId="0" borderId="6" xfId="0" applyBorder="1"/>
    <xf numFmtId="0" fontId="0" fillId="0" borderId="3" xfId="0" applyBorder="1"/>
    <xf numFmtId="2" fontId="2" fillId="2" borderId="0" xfId="0" applyNumberFormat="1" applyFont="1" applyFill="1" applyBorder="1" applyAlignment="1">
      <alignment horizontal="right"/>
    </xf>
    <xf numFmtId="0" fontId="2" fillId="2" borderId="9" xfId="0" applyFont="1" applyFill="1" applyBorder="1" applyAlignment="1">
      <alignment horizontal="right"/>
    </xf>
    <xf numFmtId="2" fontId="2" fillId="2" borderId="5" xfId="0" applyNumberFormat="1" applyFont="1" applyFill="1" applyBorder="1" applyAlignment="1">
      <alignment horizontal="right"/>
    </xf>
    <xf numFmtId="2" fontId="2" fillId="2" borderId="6" xfId="0" applyNumberFormat="1" applyFont="1" applyFill="1" applyBorder="1" applyAlignment="1">
      <alignment horizontal="right"/>
    </xf>
    <xf numFmtId="2" fontId="2" fillId="2" borderId="5" xfId="0" applyNumberFormat="1" applyFont="1" applyFill="1" applyBorder="1" applyAlignment="1">
      <alignment horizontal="left"/>
    </xf>
    <xf numFmtId="2" fontId="2" fillId="2" borderId="6" xfId="0" applyNumberFormat="1" applyFont="1" applyFill="1" applyBorder="1" applyAlignment="1">
      <alignment horizontal="left"/>
    </xf>
    <xf numFmtId="0" fontId="0" fillId="0" borderId="8" xfId="0" applyFill="1" applyBorder="1"/>
    <xf numFmtId="0" fontId="0" fillId="0" borderId="10" xfId="0" applyFill="1" applyBorder="1"/>
    <xf numFmtId="0" fontId="0" fillId="0" borderId="5" xfId="0" applyFill="1" applyBorder="1"/>
    <xf numFmtId="0" fontId="0" fillId="0" borderId="0" xfId="0" applyFill="1" applyAlignment="1">
      <alignment horizontal="center"/>
    </xf>
    <xf numFmtId="2" fontId="5" fillId="0" borderId="14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2" fillId="0" borderId="0" xfId="0" applyFont="1" applyFill="1" applyBorder="1"/>
    <xf numFmtId="2" fontId="5" fillId="0" borderId="8" xfId="0" applyNumberFormat="1" applyFont="1" applyBorder="1" applyAlignment="1">
      <alignment horizontal="center"/>
    </xf>
    <xf numFmtId="2" fontId="5" fillId="0" borderId="5" xfId="0" applyNumberFormat="1" applyFont="1" applyBorder="1" applyAlignment="1">
      <alignment horizontal="center"/>
    </xf>
    <xf numFmtId="2" fontId="5" fillId="0" borderId="10" xfId="0" applyNumberFormat="1" applyFont="1" applyBorder="1" applyAlignment="1">
      <alignment horizontal="center"/>
    </xf>
    <xf numFmtId="1" fontId="5" fillId="0" borderId="14" xfId="0" applyNumberFormat="1" applyFont="1" applyFill="1" applyBorder="1" applyAlignment="1">
      <alignment horizontal="right"/>
    </xf>
    <xf numFmtId="2" fontId="5" fillId="0" borderId="13" xfId="0" applyNumberFormat="1" applyFont="1" applyBorder="1" applyAlignment="1">
      <alignment horizontal="right"/>
    </xf>
    <xf numFmtId="2" fontId="5" fillId="0" borderId="12" xfId="0" applyNumberFormat="1" applyFont="1" applyFill="1" applyBorder="1" applyAlignment="1">
      <alignment horizontal="right"/>
    </xf>
    <xf numFmtId="2" fontId="5" fillId="0" borderId="13" xfId="0" applyNumberFormat="1" applyFont="1" applyFill="1" applyBorder="1" applyAlignment="1">
      <alignment horizontal="right"/>
    </xf>
    <xf numFmtId="2" fontId="5" fillId="0" borderId="14" xfId="0" applyNumberFormat="1" applyFont="1" applyBorder="1" applyAlignment="1">
      <alignment horizontal="right"/>
    </xf>
    <xf numFmtId="2" fontId="5" fillId="0" borderId="12" xfId="0" applyNumberFormat="1" applyFont="1" applyBorder="1" applyAlignment="1">
      <alignment horizontal="right"/>
    </xf>
    <xf numFmtId="2" fontId="5" fillId="0" borderId="0" xfId="0" applyNumberFormat="1" applyFont="1" applyBorder="1" applyAlignment="1">
      <alignment horizontal="center"/>
    </xf>
    <xf numFmtId="2" fontId="5" fillId="0" borderId="8" xfId="0" applyNumberFormat="1" applyFont="1" applyFill="1" applyBorder="1" applyAlignment="1">
      <alignment horizontal="center"/>
    </xf>
    <xf numFmtId="2" fontId="5" fillId="0" borderId="5" xfId="0" applyNumberFormat="1" applyFont="1" applyFill="1" applyBorder="1" applyAlignment="1">
      <alignment horizontal="center"/>
    </xf>
    <xf numFmtId="0" fontId="0" fillId="0" borderId="0" xfId="0" applyNumberFormat="1" applyFill="1" applyAlignment="1">
      <alignment horizontal="left"/>
    </xf>
    <xf numFmtId="0" fontId="0" fillId="0" borderId="0" xfId="0" applyNumberFormat="1" applyFill="1" applyBorder="1" applyAlignment="1">
      <alignment horizontal="left"/>
    </xf>
    <xf numFmtId="49" fontId="0" fillId="0" borderId="0" xfId="0" applyNumberFormat="1"/>
    <xf numFmtId="1" fontId="5" fillId="0" borderId="0" xfId="0" applyNumberFormat="1" applyFont="1" applyFill="1" applyAlignment="1">
      <alignment horizontal="right"/>
    </xf>
    <xf numFmtId="0" fontId="1" fillId="0" borderId="0" xfId="0" applyFont="1" applyFill="1" applyBorder="1"/>
    <xf numFmtId="0" fontId="1" fillId="0" borderId="0" xfId="0" applyFont="1" applyFill="1" applyBorder="1" applyAlignment="1">
      <alignment horizontal="left"/>
    </xf>
    <xf numFmtId="2" fontId="2" fillId="0" borderId="0" xfId="0" applyNumberFormat="1" applyFont="1" applyFill="1" applyBorder="1" applyAlignment="1">
      <alignment horizontal="center"/>
    </xf>
    <xf numFmtId="0" fontId="5" fillId="0" borderId="0" xfId="0" applyFont="1" applyFill="1"/>
    <xf numFmtId="2" fontId="2" fillId="0" borderId="0" xfId="0" applyNumberFormat="1" applyFont="1" applyFill="1" applyBorder="1" applyAlignment="1">
      <alignment horizontal="right"/>
    </xf>
    <xf numFmtId="49" fontId="0" fillId="0" borderId="0" xfId="0" applyNumberFormat="1" applyFill="1" applyBorder="1"/>
    <xf numFmtId="2" fontId="2" fillId="0" borderId="0" xfId="0" applyNumberFormat="1" applyFont="1" applyFill="1" applyAlignment="1">
      <alignment horizontal="center"/>
    </xf>
    <xf numFmtId="0" fontId="7" fillId="2" borderId="12" xfId="0" applyFont="1" applyFill="1" applyBorder="1" applyAlignment="1">
      <alignment horizontal="center"/>
    </xf>
    <xf numFmtId="0" fontId="2" fillId="2" borderId="0" xfId="0" applyFont="1" applyFill="1"/>
    <xf numFmtId="0" fontId="2" fillId="2" borderId="12" xfId="0" applyFont="1" applyFill="1" applyBorder="1"/>
    <xf numFmtId="0" fontId="2" fillId="2" borderId="0" xfId="0" applyFont="1" applyFill="1" applyBorder="1" applyAlignment="1">
      <alignment horizontal="right"/>
    </xf>
    <xf numFmtId="2" fontId="2" fillId="2" borderId="7" xfId="0" applyNumberFormat="1" applyFont="1" applyFill="1" applyBorder="1" applyAlignment="1">
      <alignment horizontal="left"/>
    </xf>
    <xf numFmtId="2" fontId="5" fillId="0" borderId="1" xfId="0" applyNumberFormat="1" applyFont="1" applyFill="1" applyBorder="1" applyAlignment="1">
      <alignment horizontal="right"/>
    </xf>
    <xf numFmtId="2" fontId="1" fillId="0" borderId="18" xfId="0" applyNumberFormat="1" applyFont="1" applyBorder="1"/>
    <xf numFmtId="2" fontId="1" fillId="0" borderId="1" xfId="0" applyNumberFormat="1" applyFont="1" applyBorder="1"/>
    <xf numFmtId="2" fontId="1" fillId="0" borderId="19" xfId="0" applyNumberFormat="1" applyFont="1" applyBorder="1"/>
    <xf numFmtId="2" fontId="1" fillId="0" borderId="20" xfId="0" applyNumberFormat="1" applyFont="1" applyBorder="1"/>
    <xf numFmtId="2" fontId="1" fillId="0" borderId="0" xfId="0" applyNumberFormat="1" applyFont="1" applyBorder="1"/>
    <xf numFmtId="2" fontId="1" fillId="0" borderId="2" xfId="0" applyNumberFormat="1" applyFont="1" applyBorder="1"/>
    <xf numFmtId="2" fontId="1" fillId="0" borderId="21" xfId="0" applyNumberFormat="1" applyFont="1" applyBorder="1"/>
    <xf numFmtId="2" fontId="1" fillId="0" borderId="22" xfId="0" applyNumberFormat="1" applyFont="1" applyBorder="1"/>
    <xf numFmtId="2" fontId="1" fillId="0" borderId="23" xfId="0" applyNumberFormat="1" applyFont="1" applyBorder="1"/>
    <xf numFmtId="0" fontId="8" fillId="0" borderId="0" xfId="0" applyFont="1" applyAlignment="1">
      <alignment horizontal="left"/>
    </xf>
    <xf numFmtId="2" fontId="0" fillId="0" borderId="28" xfId="0" applyNumberFormat="1" applyFill="1" applyBorder="1" applyAlignment="1">
      <alignment horizontal="center"/>
    </xf>
    <xf numFmtId="2" fontId="0" fillId="0" borderId="29" xfId="0" applyNumberFormat="1" applyBorder="1" applyAlignment="1">
      <alignment horizontal="right"/>
    </xf>
    <xf numFmtId="2" fontId="0" fillId="0" borderId="30" xfId="0" applyNumberFormat="1" applyFill="1" applyBorder="1" applyAlignment="1">
      <alignment horizontal="center"/>
    </xf>
    <xf numFmtId="2" fontId="0" fillId="0" borderId="2" xfId="0" applyNumberFormat="1" applyBorder="1" applyAlignment="1">
      <alignment horizontal="right"/>
    </xf>
    <xf numFmtId="2" fontId="0" fillId="0" borderId="31" xfId="0" applyNumberFormat="1" applyBorder="1" applyAlignment="1">
      <alignment horizontal="right"/>
    </xf>
    <xf numFmtId="2" fontId="0" fillId="0" borderId="32" xfId="0" applyNumberFormat="1" applyFill="1" applyBorder="1" applyAlignment="1">
      <alignment horizontal="center"/>
    </xf>
    <xf numFmtId="2" fontId="0" fillId="0" borderId="33" xfId="0" applyNumberFormat="1" applyFill="1" applyBorder="1" applyAlignment="1">
      <alignment horizontal="center"/>
    </xf>
    <xf numFmtId="2" fontId="5" fillId="0" borderId="30" xfId="0" applyNumberFormat="1" applyFont="1" applyFill="1" applyBorder="1" applyAlignment="1">
      <alignment horizontal="center"/>
    </xf>
    <xf numFmtId="2" fontId="0" fillId="0" borderId="34" xfId="0" applyNumberFormat="1" applyFill="1" applyBorder="1" applyAlignment="1">
      <alignment horizontal="center"/>
    </xf>
    <xf numFmtId="2" fontId="0" fillId="0" borderId="22" xfId="0" applyNumberFormat="1" applyFill="1" applyBorder="1" applyAlignment="1">
      <alignment horizontal="right"/>
    </xf>
    <xf numFmtId="2" fontId="0" fillId="0" borderId="23" xfId="0" applyNumberFormat="1" applyBorder="1" applyAlignment="1">
      <alignment horizontal="right"/>
    </xf>
    <xf numFmtId="2" fontId="0" fillId="2" borderId="24" xfId="0" applyNumberFormat="1" applyFill="1" applyBorder="1"/>
    <xf numFmtId="2" fontId="2" fillId="2" borderId="27" xfId="0" applyNumberFormat="1" applyFont="1" applyFill="1" applyBorder="1" applyAlignment="1">
      <alignment horizontal="center"/>
    </xf>
    <xf numFmtId="2" fontId="2" fillId="2" borderId="0" xfId="0" applyNumberFormat="1" applyFont="1" applyFill="1" applyBorder="1" applyAlignment="1">
      <alignment horizontal="left"/>
    </xf>
    <xf numFmtId="2" fontId="2" fillId="2" borderId="2" xfId="0" applyNumberFormat="1" applyFont="1" applyFill="1" applyBorder="1" applyAlignment="1">
      <alignment horizontal="left"/>
    </xf>
    <xf numFmtId="0" fontId="5" fillId="0" borderId="5" xfId="0" applyFont="1" applyFill="1" applyBorder="1" applyAlignment="1">
      <alignment horizontal="right"/>
    </xf>
    <xf numFmtId="0" fontId="5" fillId="0" borderId="7" xfId="0" applyFont="1" applyFill="1" applyBorder="1" applyAlignment="1">
      <alignment horizontal="right"/>
    </xf>
    <xf numFmtId="0" fontId="7" fillId="2" borderId="8" xfId="0" applyFont="1" applyFill="1" applyBorder="1" applyAlignment="1">
      <alignment horizontal="right"/>
    </xf>
    <xf numFmtId="0" fontId="7" fillId="2" borderId="0" xfId="0" applyFont="1" applyFill="1" applyBorder="1" applyAlignment="1">
      <alignment horizontal="right"/>
    </xf>
    <xf numFmtId="0" fontId="7" fillId="2" borderId="15" xfId="0" applyFont="1" applyFill="1" applyBorder="1" applyAlignment="1">
      <alignment horizontal="right"/>
    </xf>
    <xf numFmtId="0" fontId="7" fillId="2" borderId="16" xfId="0" applyFont="1" applyFill="1" applyBorder="1" applyAlignment="1">
      <alignment horizontal="right"/>
    </xf>
    <xf numFmtId="0" fontId="5" fillId="2" borderId="24" xfId="0" applyFont="1" applyFill="1" applyBorder="1" applyAlignment="1">
      <alignment horizontal="center"/>
    </xf>
    <xf numFmtId="0" fontId="7" fillId="2" borderId="27" xfId="0" applyFont="1" applyFill="1" applyBorder="1" applyAlignment="1">
      <alignment horizontal="center"/>
    </xf>
    <xf numFmtId="0" fontId="7" fillId="2" borderId="37" xfId="0" applyFont="1" applyFill="1" applyBorder="1" applyAlignment="1">
      <alignment horizontal="right"/>
    </xf>
    <xf numFmtId="0" fontId="5" fillId="0" borderId="32" xfId="0" applyFont="1" applyFill="1" applyBorder="1" applyAlignment="1">
      <alignment horizontal="center"/>
    </xf>
    <xf numFmtId="2" fontId="5" fillId="0" borderId="2" xfId="0" applyNumberFormat="1" applyFont="1" applyFill="1" applyBorder="1" applyAlignment="1">
      <alignment horizontal="right"/>
    </xf>
    <xf numFmtId="0" fontId="5" fillId="0" borderId="30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2" fontId="5" fillId="0" borderId="29" xfId="0" applyNumberFormat="1" applyFont="1" applyFill="1" applyBorder="1" applyAlignment="1">
      <alignment horizontal="right"/>
    </xf>
    <xf numFmtId="0" fontId="5" fillId="0" borderId="38" xfId="0" applyFont="1" applyFill="1" applyBorder="1" applyAlignment="1">
      <alignment horizontal="center"/>
    </xf>
    <xf numFmtId="2" fontId="5" fillId="0" borderId="31" xfId="0" applyNumberFormat="1" applyFont="1" applyFill="1" applyBorder="1" applyAlignment="1">
      <alignment horizontal="right"/>
    </xf>
    <xf numFmtId="0" fontId="5" fillId="0" borderId="2" xfId="0" applyFont="1" applyFill="1" applyBorder="1" applyAlignment="1">
      <alignment horizontal="right"/>
    </xf>
    <xf numFmtId="0" fontId="5" fillId="0" borderId="31" xfId="0" applyFont="1" applyFill="1" applyBorder="1" applyAlignment="1">
      <alignment horizontal="right"/>
    </xf>
    <xf numFmtId="1" fontId="5" fillId="0" borderId="29" xfId="0" applyNumberFormat="1" applyFont="1" applyFill="1" applyBorder="1" applyAlignment="1">
      <alignment horizontal="right"/>
    </xf>
    <xf numFmtId="1" fontId="5" fillId="0" borderId="2" xfId="0" applyNumberFormat="1" applyFont="1" applyFill="1" applyBorder="1" applyAlignment="1">
      <alignment horizontal="right"/>
    </xf>
    <xf numFmtId="2" fontId="5" fillId="0" borderId="40" xfId="0" applyNumberFormat="1" applyFont="1" applyFill="1" applyBorder="1" applyAlignment="1">
      <alignment horizontal="right"/>
    </xf>
    <xf numFmtId="2" fontId="5" fillId="0" borderId="22" xfId="0" applyNumberFormat="1" applyFont="1" applyFill="1" applyBorder="1" applyAlignment="1">
      <alignment horizontal="right"/>
    </xf>
    <xf numFmtId="1" fontId="5" fillId="0" borderId="40" xfId="0" applyNumberFormat="1" applyFont="1" applyFill="1" applyBorder="1" applyAlignment="1">
      <alignment horizontal="right"/>
    </xf>
    <xf numFmtId="2" fontId="5" fillId="0" borderId="23" xfId="0" applyNumberFormat="1" applyFont="1" applyFill="1" applyBorder="1" applyAlignment="1">
      <alignment horizontal="right"/>
    </xf>
    <xf numFmtId="2" fontId="0" fillId="2" borderId="41" xfId="0" applyNumberFormat="1" applyFill="1" applyBorder="1" applyAlignment="1">
      <alignment horizontal="center"/>
    </xf>
    <xf numFmtId="2" fontId="2" fillId="2" borderId="42" xfId="0" applyNumberFormat="1" applyFont="1" applyFill="1" applyBorder="1" applyAlignment="1">
      <alignment horizontal="right"/>
    </xf>
    <xf numFmtId="2" fontId="0" fillId="0" borderId="43" xfId="0" applyNumberFormat="1" applyBorder="1" applyAlignment="1">
      <alignment horizontal="right"/>
    </xf>
    <xf numFmtId="2" fontId="0" fillId="0" borderId="44" xfId="0" applyNumberFormat="1" applyBorder="1" applyAlignment="1">
      <alignment horizontal="right"/>
    </xf>
    <xf numFmtId="49" fontId="0" fillId="0" borderId="0" xfId="0" applyNumberFormat="1" applyFill="1"/>
    <xf numFmtId="2" fontId="0" fillId="0" borderId="0" xfId="0" applyNumberFormat="1" applyBorder="1"/>
    <xf numFmtId="49" fontId="0" fillId="0" borderId="0" xfId="0" applyNumberFormat="1" applyBorder="1"/>
    <xf numFmtId="0" fontId="5" fillId="0" borderId="0" xfId="0" applyFont="1" applyBorder="1"/>
    <xf numFmtId="0" fontId="5" fillId="0" borderId="0" xfId="0" applyNumberFormat="1" applyFont="1" applyBorder="1" applyAlignment="1">
      <alignment horizontal="center"/>
    </xf>
    <xf numFmtId="0" fontId="0" fillId="0" borderId="0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 horizontal="right"/>
    </xf>
    <xf numFmtId="2" fontId="7" fillId="2" borderId="10" xfId="0" applyNumberFormat="1" applyFont="1" applyFill="1" applyBorder="1" applyAlignment="1">
      <alignment horizontal="center"/>
    </xf>
    <xf numFmtId="2" fontId="7" fillId="2" borderId="13" xfId="0" applyNumberFormat="1" applyFont="1" applyFill="1" applyBorder="1" applyAlignment="1">
      <alignment horizontal="center"/>
    </xf>
    <xf numFmtId="2" fontId="7" fillId="2" borderId="0" xfId="0" applyNumberFormat="1" applyFont="1" applyFill="1" applyBorder="1" applyAlignment="1">
      <alignment horizontal="center"/>
    </xf>
    <xf numFmtId="1" fontId="7" fillId="2" borderId="13" xfId="0" applyNumberFormat="1" applyFont="1" applyFill="1" applyBorder="1" applyAlignment="1">
      <alignment horizontal="right"/>
    </xf>
    <xf numFmtId="1" fontId="7" fillId="2" borderId="0" xfId="0" applyNumberFormat="1" applyFont="1" applyFill="1" applyBorder="1" applyAlignment="1">
      <alignment horizontal="right"/>
    </xf>
    <xf numFmtId="2" fontId="7" fillId="2" borderId="13" xfId="0" applyNumberFormat="1" applyFont="1" applyFill="1" applyBorder="1" applyAlignment="1">
      <alignment horizontal="right"/>
    </xf>
    <xf numFmtId="2" fontId="5" fillId="0" borderId="0" xfId="0" applyNumberFormat="1" applyFont="1" applyFill="1" applyBorder="1" applyAlignment="1">
      <alignment horizontal="center"/>
    </xf>
    <xf numFmtId="2" fontId="7" fillId="2" borderId="14" xfId="0" applyNumberFormat="1" applyFont="1" applyFill="1" applyBorder="1" applyAlignment="1">
      <alignment horizontal="center"/>
    </xf>
    <xf numFmtId="2" fontId="7" fillId="2" borderId="3" xfId="0" applyNumberFormat="1" applyFont="1" applyFill="1" applyBorder="1" applyAlignment="1">
      <alignment horizontal="center"/>
    </xf>
    <xf numFmtId="1" fontId="7" fillId="2" borderId="3" xfId="0" applyNumberFormat="1" applyFont="1" applyFill="1" applyBorder="1" applyAlignment="1">
      <alignment horizontal="right"/>
    </xf>
    <xf numFmtId="2" fontId="7" fillId="2" borderId="14" xfId="0" applyNumberFormat="1" applyFont="1" applyFill="1" applyBorder="1" applyAlignment="1">
      <alignment horizontal="right"/>
    </xf>
    <xf numFmtId="1" fontId="0" fillId="0" borderId="0" xfId="0" applyNumberFormat="1" applyBorder="1"/>
    <xf numFmtId="2" fontId="5" fillId="0" borderId="0" xfId="0" applyNumberFormat="1" applyFont="1" applyBorder="1" applyAlignment="1">
      <alignment horizontal="left"/>
    </xf>
    <xf numFmtId="2" fontId="5" fillId="0" borderId="0" xfId="0" applyNumberFormat="1" applyFont="1" applyBorder="1" applyAlignment="1"/>
    <xf numFmtId="2" fontId="5" fillId="0" borderId="12" xfId="0" applyNumberFormat="1" applyFont="1" applyFill="1" applyBorder="1" applyAlignment="1">
      <alignment horizontal="center"/>
    </xf>
    <xf numFmtId="2" fontId="5" fillId="0" borderId="10" xfId="0" applyNumberFormat="1" applyFont="1" applyFill="1" applyBorder="1" applyAlignment="1">
      <alignment horizontal="center"/>
    </xf>
    <xf numFmtId="2" fontId="5" fillId="0" borderId="14" xfId="0" applyNumberFormat="1" applyFont="1" applyFill="1" applyBorder="1" applyAlignment="1">
      <alignment horizontal="right"/>
    </xf>
    <xf numFmtId="0" fontId="1" fillId="0" borderId="30" xfId="0" applyFont="1" applyFill="1" applyBorder="1" applyAlignment="1">
      <alignment horizontal="center"/>
    </xf>
    <xf numFmtId="0" fontId="1" fillId="0" borderId="33" xfId="0" applyFont="1" applyFill="1" applyBorder="1" applyAlignment="1">
      <alignment horizontal="center"/>
    </xf>
    <xf numFmtId="0" fontId="1" fillId="0" borderId="34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1" fillId="0" borderId="38" xfId="0" applyFont="1" applyFill="1" applyBorder="1" applyAlignment="1">
      <alignment horizontal="center"/>
    </xf>
    <xf numFmtId="0" fontId="1" fillId="0" borderId="39" xfId="0" applyFont="1" applyFill="1" applyBorder="1" applyAlignment="1">
      <alignment horizontal="center"/>
    </xf>
    <xf numFmtId="0" fontId="1" fillId="0" borderId="32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2" fontId="0" fillId="0" borderId="0" xfId="0" applyNumberForma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left"/>
    </xf>
    <xf numFmtId="1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right" vertical="center"/>
    </xf>
    <xf numFmtId="2" fontId="0" fillId="0" borderId="0" xfId="0" applyNumberFormat="1" applyFill="1" applyBorder="1" applyAlignment="1"/>
    <xf numFmtId="0" fontId="0" fillId="0" borderId="0" xfId="0" applyFill="1" applyBorder="1" applyAlignment="1"/>
    <xf numFmtId="0" fontId="2" fillId="0" borderId="0" xfId="0" applyFont="1" applyFill="1" applyBorder="1" applyAlignment="1"/>
    <xf numFmtId="0" fontId="7" fillId="0" borderId="0" xfId="0" applyFont="1" applyFill="1" applyBorder="1" applyAlignment="1"/>
    <xf numFmtId="1" fontId="0" fillId="0" borderId="0" xfId="0" applyNumberFormat="1" applyFill="1" applyBorder="1" applyAlignment="1"/>
    <xf numFmtId="49" fontId="0" fillId="0" borderId="0" xfId="0" applyNumberFormat="1" applyFill="1" applyBorder="1" applyAlignment="1"/>
    <xf numFmtId="0" fontId="6" fillId="0" borderId="0" xfId="0" applyFont="1" applyFill="1" applyBorder="1" applyAlignment="1"/>
    <xf numFmtId="0" fontId="7" fillId="0" borderId="0" xfId="0" applyFont="1" applyFill="1" applyBorder="1" applyAlignment="1">
      <alignment horizontal="right"/>
    </xf>
    <xf numFmtId="1" fontId="7" fillId="0" borderId="0" xfId="0" applyNumberFormat="1" applyFont="1" applyFill="1" applyBorder="1" applyAlignment="1">
      <alignment horizontal="right"/>
    </xf>
    <xf numFmtId="49" fontId="5" fillId="0" borderId="0" xfId="0" applyNumberFormat="1" applyFont="1" applyFill="1"/>
    <xf numFmtId="1" fontId="5" fillId="0" borderId="0" xfId="0" applyNumberFormat="1" applyFont="1" applyFill="1" applyBorder="1" applyAlignment="1"/>
    <xf numFmtId="49" fontId="5" fillId="0" borderId="0" xfId="0" applyNumberFormat="1" applyFont="1"/>
    <xf numFmtId="1" fontId="7" fillId="2" borderId="10" xfId="0" applyNumberFormat="1" applyFont="1" applyFill="1" applyBorder="1" applyAlignment="1">
      <alignment horizontal="right"/>
    </xf>
    <xf numFmtId="1" fontId="7" fillId="2" borderId="14" xfId="0" applyNumberFormat="1" applyFont="1" applyFill="1" applyBorder="1" applyAlignment="1">
      <alignment horizontal="right"/>
    </xf>
    <xf numFmtId="0" fontId="7" fillId="2" borderId="35" xfId="0" applyFont="1" applyFill="1" applyBorder="1" applyAlignment="1">
      <alignment horizontal="center"/>
    </xf>
    <xf numFmtId="0" fontId="7" fillId="2" borderId="25" xfId="0" applyFont="1" applyFill="1" applyBorder="1" applyAlignment="1">
      <alignment horizontal="center"/>
    </xf>
    <xf numFmtId="0" fontId="7" fillId="2" borderId="26" xfId="0" applyFont="1" applyFill="1" applyBorder="1" applyAlignment="1">
      <alignment horizontal="center"/>
    </xf>
    <xf numFmtId="0" fontId="7" fillId="2" borderId="36" xfId="0" applyFont="1" applyFill="1" applyBorder="1" applyAlignment="1">
      <alignment horizontal="center"/>
    </xf>
    <xf numFmtId="2" fontId="2" fillId="2" borderId="25" xfId="0" applyNumberFormat="1" applyFont="1" applyFill="1" applyBorder="1" applyAlignment="1">
      <alignment horizontal="center"/>
    </xf>
    <xf numFmtId="2" fontId="2" fillId="2" borderId="26" xfId="0" applyNumberFormat="1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I72"/>
  <sheetViews>
    <sheetView topLeftCell="A13" zoomScale="85" zoomScaleNormal="85" workbookViewId="0">
      <selection activeCell="D34" sqref="D34"/>
    </sheetView>
  </sheetViews>
  <sheetFormatPr defaultRowHeight="14.4"/>
  <cols>
    <col min="1" max="1" width="33.6640625" customWidth="1"/>
    <col min="2" max="2" width="20" style="2" customWidth="1"/>
    <col min="3" max="3" width="10.6640625" style="15" customWidth="1"/>
    <col min="4" max="4" width="17.88671875" style="15" customWidth="1"/>
    <col min="5" max="5" width="11.21875" style="34" customWidth="1"/>
    <col min="6" max="6" width="12.21875" style="15" customWidth="1"/>
    <col min="7" max="7" width="14" style="15" customWidth="1"/>
    <col min="8" max="8" width="11.44140625" style="15" customWidth="1"/>
    <col min="9" max="9" width="12.21875" style="15" customWidth="1"/>
    <col min="10" max="10" width="11.21875" style="15" customWidth="1"/>
    <col min="11" max="11" width="15.88671875" style="15" customWidth="1"/>
    <col min="12" max="12" width="19.88671875" style="15" customWidth="1"/>
    <col min="13" max="13" width="14.5546875" style="15" customWidth="1"/>
    <col min="14" max="14" width="15.77734375" style="15" customWidth="1"/>
    <col min="15" max="15" width="11.33203125" style="15" customWidth="1"/>
    <col min="16" max="16" width="11.77734375" style="15" customWidth="1"/>
    <col min="17" max="17" width="15.5546875" style="17" customWidth="1"/>
    <col min="19" max="19" width="16.21875" customWidth="1"/>
    <col min="20" max="20" width="10.21875" customWidth="1"/>
    <col min="21" max="21" width="10.33203125" customWidth="1"/>
    <col min="22" max="22" width="16.33203125" customWidth="1"/>
    <col min="24" max="24" width="21.33203125" customWidth="1"/>
    <col min="25" max="25" width="13.44140625" customWidth="1"/>
    <col min="27" max="27" width="21.21875" customWidth="1"/>
    <col min="28" max="28" width="14" customWidth="1"/>
  </cols>
  <sheetData>
    <row r="2" spans="1:35">
      <c r="C2" s="16"/>
      <c r="D2" s="16"/>
      <c r="E2" s="29"/>
      <c r="F2" s="16"/>
      <c r="G2" s="16"/>
      <c r="H2" s="16"/>
      <c r="I2" s="16"/>
      <c r="J2" s="16"/>
      <c r="K2" s="16"/>
      <c r="L2" s="16"/>
      <c r="M2" s="16"/>
    </row>
    <row r="3" spans="1:35">
      <c r="A3" s="1"/>
      <c r="B3" s="27"/>
      <c r="C3" s="16"/>
      <c r="D3" s="16"/>
      <c r="E3" s="29"/>
      <c r="F3" s="16"/>
      <c r="G3" s="16"/>
      <c r="H3" s="16"/>
      <c r="I3" s="16"/>
      <c r="J3" s="16"/>
      <c r="K3" s="16"/>
      <c r="L3" s="16"/>
      <c r="M3" s="16"/>
    </row>
    <row r="4" spans="1:35" ht="21.6" thickBot="1">
      <c r="B4" s="200" t="s">
        <v>33</v>
      </c>
      <c r="F4" s="16"/>
      <c r="G4" s="16"/>
      <c r="H4" s="16"/>
      <c r="J4" s="16"/>
      <c r="K4" s="16"/>
      <c r="L4" s="16"/>
      <c r="M4" s="16"/>
    </row>
    <row r="5" spans="1:35" s="2" customFormat="1">
      <c r="A5" s="27"/>
      <c r="B5" s="222"/>
      <c r="C5" s="297" t="s">
        <v>73</v>
      </c>
      <c r="D5" s="298"/>
      <c r="E5" s="298"/>
      <c r="F5" s="298"/>
      <c r="G5" s="298"/>
      <c r="H5" s="298"/>
      <c r="I5" s="298"/>
      <c r="J5" s="298"/>
      <c r="K5" s="298"/>
      <c r="L5" s="298"/>
      <c r="M5" s="300"/>
      <c r="N5" s="297" t="s">
        <v>74</v>
      </c>
      <c r="O5" s="298"/>
      <c r="P5" s="299"/>
      <c r="Q5" s="240"/>
    </row>
    <row r="6" spans="1:35">
      <c r="A6" s="2"/>
      <c r="B6" s="223" t="s">
        <v>55</v>
      </c>
      <c r="C6" s="218" t="s">
        <v>15</v>
      </c>
      <c r="D6" s="219" t="s">
        <v>16</v>
      </c>
      <c r="E6" s="219" t="s">
        <v>17</v>
      </c>
      <c r="F6" s="219" t="s">
        <v>18</v>
      </c>
      <c r="G6" s="219" t="s">
        <v>19</v>
      </c>
      <c r="H6" s="219" t="s">
        <v>20</v>
      </c>
      <c r="I6" s="219" t="s">
        <v>21</v>
      </c>
      <c r="J6" s="219" t="s">
        <v>22</v>
      </c>
      <c r="K6" s="219" t="s">
        <v>23</v>
      </c>
      <c r="L6" s="219" t="s">
        <v>24</v>
      </c>
      <c r="M6" s="219" t="s">
        <v>25</v>
      </c>
      <c r="N6" s="220" t="s">
        <v>27</v>
      </c>
      <c r="O6" s="221" t="s">
        <v>28</v>
      </c>
      <c r="P6" s="224" t="s">
        <v>29</v>
      </c>
      <c r="Q6" s="241" t="s">
        <v>86</v>
      </c>
    </row>
    <row r="7" spans="1:35">
      <c r="B7" s="275" t="s">
        <v>53</v>
      </c>
      <c r="C7" s="36">
        <f>85.67*100</f>
        <v>8567</v>
      </c>
      <c r="D7" s="36" t="s">
        <v>26</v>
      </c>
      <c r="E7" s="36">
        <f>0.83*100</f>
        <v>83</v>
      </c>
      <c r="F7" s="36" t="s">
        <v>26</v>
      </c>
      <c r="G7" s="36" t="s">
        <v>26</v>
      </c>
      <c r="H7" s="36" t="s">
        <v>26</v>
      </c>
      <c r="I7" s="36" t="s">
        <v>26</v>
      </c>
      <c r="J7" s="36" t="s">
        <v>26</v>
      </c>
      <c r="K7" s="36" t="s">
        <v>26</v>
      </c>
      <c r="L7" s="36" t="s">
        <v>26</v>
      </c>
      <c r="M7" s="36" t="s">
        <v>26</v>
      </c>
      <c r="N7" s="107">
        <f>526.98*100</f>
        <v>52698</v>
      </c>
      <c r="O7" s="31">
        <f>14.25*100</f>
        <v>1425</v>
      </c>
      <c r="P7" s="226">
        <f>18.51*100</f>
        <v>1851.0000000000002</v>
      </c>
      <c r="Q7" s="242">
        <f>(N7/1000000)*100</f>
        <v>5.2698</v>
      </c>
    </row>
    <row r="8" spans="1:35">
      <c r="A8" s="2"/>
      <c r="B8" s="269" t="s">
        <v>54</v>
      </c>
      <c r="C8" s="31">
        <f>221.53*100</f>
        <v>22153</v>
      </c>
      <c r="D8" s="31">
        <f>2.56*100</f>
        <v>256</v>
      </c>
      <c r="E8" s="31">
        <f>8.09*100</f>
        <v>809</v>
      </c>
      <c r="F8" s="31" t="s">
        <v>26</v>
      </c>
      <c r="G8" s="31">
        <f>59.79*100</f>
        <v>5979</v>
      </c>
      <c r="H8" s="31" t="s">
        <v>26</v>
      </c>
      <c r="I8" s="31">
        <f>9.93*100</f>
        <v>993</v>
      </c>
      <c r="J8" s="31">
        <f>1.69*100</f>
        <v>169</v>
      </c>
      <c r="K8" s="31" t="s">
        <v>26</v>
      </c>
      <c r="L8" s="31" t="s">
        <v>26</v>
      </c>
      <c r="M8" s="31" t="s">
        <v>26</v>
      </c>
      <c r="N8" s="107">
        <f>5353.2*100</f>
        <v>535320</v>
      </c>
      <c r="O8" s="31">
        <f>18.96*100</f>
        <v>1896</v>
      </c>
      <c r="P8" s="226">
        <f>15.2*100</f>
        <v>1520</v>
      </c>
      <c r="Q8" s="242">
        <f>(N8/1000000)*100</f>
        <v>53.532000000000004</v>
      </c>
      <c r="R8" t="s">
        <v>87</v>
      </c>
      <c r="S8" s="3"/>
      <c r="T8" s="3"/>
      <c r="U8" s="3"/>
      <c r="V8" s="3"/>
      <c r="W8" s="3"/>
      <c r="X8" s="3"/>
    </row>
    <row r="9" spans="1:35" ht="15" thickBot="1">
      <c r="B9" s="270" t="s">
        <v>52</v>
      </c>
      <c r="C9" s="31">
        <f>138.74*100</f>
        <v>13874</v>
      </c>
      <c r="D9" s="31" t="s">
        <v>26</v>
      </c>
      <c r="E9" s="31">
        <f>4.14*100</f>
        <v>413.99999999999994</v>
      </c>
      <c r="F9" s="31" t="s">
        <v>26</v>
      </c>
      <c r="G9" s="31" t="s">
        <v>26</v>
      </c>
      <c r="H9" s="31">
        <f>46.36*100</f>
        <v>4636</v>
      </c>
      <c r="I9" s="31" t="s">
        <v>26</v>
      </c>
      <c r="J9" s="31">
        <f>0.89*100</f>
        <v>89</v>
      </c>
      <c r="K9" s="31" t="s">
        <v>26</v>
      </c>
      <c r="L9" s="31" t="s">
        <v>26</v>
      </c>
      <c r="M9" s="31" t="s">
        <v>26</v>
      </c>
      <c r="N9" s="107">
        <f>2328.11*100</f>
        <v>232811</v>
      </c>
      <c r="O9" s="31">
        <f>211.75*100</f>
        <v>21175</v>
      </c>
      <c r="P9" s="226">
        <f>119.83*100</f>
        <v>11983</v>
      </c>
      <c r="Q9" s="243">
        <f>(N9/1000000)*100</f>
        <v>23.281099999999999</v>
      </c>
      <c r="S9" s="3"/>
      <c r="T9" s="4"/>
      <c r="U9" s="4"/>
      <c r="V9" s="3"/>
      <c r="W9" s="3"/>
      <c r="X9" s="3"/>
    </row>
    <row r="10" spans="1:35">
      <c r="B10" s="228" t="s">
        <v>34</v>
      </c>
      <c r="C10" s="56">
        <v>79.8</v>
      </c>
      <c r="D10" s="36">
        <v>25.11</v>
      </c>
      <c r="E10" s="36">
        <v>51.62</v>
      </c>
      <c r="F10" s="36">
        <v>10.23</v>
      </c>
      <c r="G10" s="36">
        <v>173.1</v>
      </c>
      <c r="H10" s="36">
        <v>13370.54</v>
      </c>
      <c r="I10" s="36">
        <v>77.489999999999995</v>
      </c>
      <c r="J10" s="36">
        <v>22.1</v>
      </c>
      <c r="K10" s="36" t="s">
        <v>26</v>
      </c>
      <c r="L10" s="36">
        <v>8.52</v>
      </c>
      <c r="M10" s="36">
        <v>1252.56</v>
      </c>
      <c r="N10" s="111">
        <v>34815.120000000003</v>
      </c>
      <c r="O10" s="36">
        <v>31.88</v>
      </c>
      <c r="P10" s="229">
        <v>474.85</v>
      </c>
    </row>
    <row r="11" spans="1:35">
      <c r="B11" s="228" t="s">
        <v>35</v>
      </c>
      <c r="C11" s="55">
        <v>118.9</v>
      </c>
      <c r="D11" s="31">
        <v>39.9</v>
      </c>
      <c r="E11" s="31">
        <v>41.35</v>
      </c>
      <c r="F11" s="31">
        <v>22.49</v>
      </c>
      <c r="G11" s="31">
        <v>314.94</v>
      </c>
      <c r="H11" s="31">
        <v>12309.49</v>
      </c>
      <c r="I11" s="31">
        <v>46.46</v>
      </c>
      <c r="J11" s="31">
        <v>21.59</v>
      </c>
      <c r="K11" s="31" t="s">
        <v>26</v>
      </c>
      <c r="L11" s="31">
        <v>10.39</v>
      </c>
      <c r="M11" s="31">
        <v>1381.54</v>
      </c>
      <c r="N11" s="107">
        <v>36201.78</v>
      </c>
      <c r="O11" s="31">
        <v>30.91</v>
      </c>
      <c r="P11" s="226">
        <v>753.77</v>
      </c>
    </row>
    <row r="12" spans="1:35">
      <c r="B12" s="228" t="s">
        <v>36</v>
      </c>
      <c r="C12" s="55">
        <v>309.52</v>
      </c>
      <c r="D12" s="31">
        <v>44.42</v>
      </c>
      <c r="E12" s="31">
        <v>178.7</v>
      </c>
      <c r="F12" s="31">
        <v>13.21</v>
      </c>
      <c r="G12" s="31">
        <v>301.61</v>
      </c>
      <c r="H12" s="31">
        <v>15806.59</v>
      </c>
      <c r="I12" s="31">
        <v>42.57</v>
      </c>
      <c r="J12" s="31">
        <v>53.48</v>
      </c>
      <c r="K12" s="31">
        <v>677.22</v>
      </c>
      <c r="L12" s="31">
        <v>7.54</v>
      </c>
      <c r="M12" s="31">
        <v>2215.8000000000002</v>
      </c>
      <c r="N12" s="107">
        <v>107599.49</v>
      </c>
      <c r="O12" s="31">
        <v>146.75</v>
      </c>
      <c r="P12" s="226">
        <v>334.89</v>
      </c>
    </row>
    <row r="13" spans="1:35">
      <c r="B13" s="228" t="s">
        <v>37</v>
      </c>
      <c r="C13" s="55">
        <v>1613.24</v>
      </c>
      <c r="D13" s="31">
        <v>61.34</v>
      </c>
      <c r="E13" s="31">
        <v>168.36</v>
      </c>
      <c r="F13" s="31">
        <v>16.309999999999999</v>
      </c>
      <c r="G13" s="31">
        <v>366.95</v>
      </c>
      <c r="H13" s="31">
        <v>13275.52</v>
      </c>
      <c r="I13" s="31">
        <v>48.1</v>
      </c>
      <c r="J13" s="31">
        <v>52.34</v>
      </c>
      <c r="K13" s="31">
        <v>29.45</v>
      </c>
      <c r="L13" s="31">
        <v>7.02</v>
      </c>
      <c r="M13" s="31">
        <v>1918.54</v>
      </c>
      <c r="N13" s="107">
        <v>111088.61</v>
      </c>
      <c r="O13" s="31">
        <v>143.27000000000001</v>
      </c>
      <c r="P13" s="226">
        <v>320.95</v>
      </c>
    </row>
    <row r="14" spans="1:35">
      <c r="B14" s="228" t="s">
        <v>38</v>
      </c>
      <c r="C14" s="55">
        <v>191.48</v>
      </c>
      <c r="D14" s="31">
        <v>30.23</v>
      </c>
      <c r="E14" s="31">
        <v>83.52</v>
      </c>
      <c r="F14" s="31">
        <v>26.63</v>
      </c>
      <c r="G14" s="31">
        <v>242.81</v>
      </c>
      <c r="H14" s="31">
        <v>13553.87</v>
      </c>
      <c r="I14" s="31">
        <v>100.62</v>
      </c>
      <c r="J14" s="31">
        <v>35.340000000000003</v>
      </c>
      <c r="K14" s="31">
        <v>393.07</v>
      </c>
      <c r="L14" s="31">
        <v>8.9600000000000009</v>
      </c>
      <c r="M14" s="31">
        <v>1371.52</v>
      </c>
      <c r="N14" s="107">
        <v>55877.84</v>
      </c>
      <c r="O14" s="31">
        <v>57.98</v>
      </c>
      <c r="P14" s="226">
        <v>1465.94</v>
      </c>
      <c r="AE14" s="8"/>
      <c r="AF14" s="8"/>
      <c r="AG14" s="8"/>
      <c r="AH14" s="8"/>
      <c r="AI14" s="8"/>
    </row>
    <row r="15" spans="1:35">
      <c r="B15" s="230" t="s">
        <v>39</v>
      </c>
      <c r="C15" s="59">
        <v>1851.6</v>
      </c>
      <c r="D15" s="37">
        <v>33.549999999999997</v>
      </c>
      <c r="E15" s="37">
        <v>74.55</v>
      </c>
      <c r="F15" s="37">
        <v>20.86</v>
      </c>
      <c r="G15" s="37">
        <v>476.32</v>
      </c>
      <c r="H15" s="37">
        <v>10363.82</v>
      </c>
      <c r="I15" s="37">
        <v>67.010000000000005</v>
      </c>
      <c r="J15" s="37">
        <v>36.03</v>
      </c>
      <c r="K15" s="37" t="s">
        <v>26</v>
      </c>
      <c r="L15" s="37">
        <v>12.1</v>
      </c>
      <c r="M15" s="37">
        <v>899.55</v>
      </c>
      <c r="N15" s="110">
        <v>60315.040000000001</v>
      </c>
      <c r="O15" s="37">
        <v>48.34</v>
      </c>
      <c r="P15" s="231">
        <v>1522.13</v>
      </c>
      <c r="AE15" s="8"/>
      <c r="AF15" s="8"/>
      <c r="AG15" s="8"/>
      <c r="AH15" s="8"/>
      <c r="AI15" s="8"/>
    </row>
    <row r="16" spans="1:35">
      <c r="B16" s="272" t="s">
        <v>62</v>
      </c>
      <c r="C16" s="92">
        <v>291.68</v>
      </c>
      <c r="D16" s="41">
        <v>11.72</v>
      </c>
      <c r="E16" s="41">
        <v>58.1</v>
      </c>
      <c r="F16" s="41">
        <v>14.04</v>
      </c>
      <c r="G16" s="41">
        <v>247.58</v>
      </c>
      <c r="H16" s="113">
        <v>15636.58</v>
      </c>
      <c r="I16" s="41">
        <v>116.02</v>
      </c>
      <c r="J16" s="41">
        <v>21.94</v>
      </c>
      <c r="K16" s="41" t="s">
        <v>26</v>
      </c>
      <c r="L16" s="41">
        <v>18.54</v>
      </c>
      <c r="M16" s="41">
        <v>1408.42</v>
      </c>
      <c r="N16" s="107">
        <f>19050.65*2</f>
        <v>38101.300000000003</v>
      </c>
      <c r="O16" s="41">
        <v>51.3</v>
      </c>
      <c r="P16" s="232">
        <v>1140.8399999999999</v>
      </c>
      <c r="Z16" s="8"/>
      <c r="AA16" s="8"/>
      <c r="AB16" s="8"/>
      <c r="AC16" s="8"/>
      <c r="AD16" s="8"/>
      <c r="AE16" s="8"/>
      <c r="AF16" s="8"/>
      <c r="AG16" s="8"/>
      <c r="AH16" s="8"/>
      <c r="AI16" s="8"/>
    </row>
    <row r="17" spans="1:35">
      <c r="B17" s="272" t="s">
        <v>63</v>
      </c>
      <c r="C17" s="92">
        <v>237.88</v>
      </c>
      <c r="D17" s="41">
        <v>26.5</v>
      </c>
      <c r="E17" s="41">
        <v>27.26</v>
      </c>
      <c r="F17" s="41">
        <v>98.46</v>
      </c>
      <c r="G17" s="41">
        <v>352.78</v>
      </c>
      <c r="H17" s="113">
        <v>15457.42</v>
      </c>
      <c r="I17" s="41">
        <v>60</v>
      </c>
      <c r="J17" s="41">
        <v>20.02</v>
      </c>
      <c r="K17" s="41" t="s">
        <v>26</v>
      </c>
      <c r="L17" s="41">
        <v>11.22</v>
      </c>
      <c r="M17" s="41">
        <v>1514.16</v>
      </c>
      <c r="N17" s="107">
        <f>16672.26*2</f>
        <v>33344.519999999997</v>
      </c>
      <c r="O17" s="41">
        <v>10.78</v>
      </c>
      <c r="P17" s="232">
        <v>2933.96</v>
      </c>
      <c r="Z17" s="8"/>
      <c r="AA17" s="8"/>
      <c r="AB17" s="8"/>
      <c r="AC17" s="8"/>
      <c r="AD17" s="8"/>
      <c r="AE17" s="8"/>
      <c r="AF17" s="8"/>
      <c r="AG17" s="8"/>
      <c r="AH17" s="8"/>
      <c r="AI17" s="8"/>
    </row>
    <row r="18" spans="1:35">
      <c r="B18" s="272" t="s">
        <v>64</v>
      </c>
      <c r="C18" s="92">
        <v>299</v>
      </c>
      <c r="D18" s="41">
        <v>46.16</v>
      </c>
      <c r="E18" s="41">
        <v>199.96</v>
      </c>
      <c r="F18" s="41">
        <v>20.2</v>
      </c>
      <c r="G18" s="41">
        <v>595.6</v>
      </c>
      <c r="H18" s="113">
        <v>22196.9</v>
      </c>
      <c r="I18" s="41">
        <v>69.8</v>
      </c>
      <c r="J18" s="41">
        <v>44.76</v>
      </c>
      <c r="K18" s="41">
        <v>421.86</v>
      </c>
      <c r="L18" s="41">
        <v>16.62</v>
      </c>
      <c r="M18" s="41">
        <v>2629.48</v>
      </c>
      <c r="N18" s="107">
        <f>63458.06*2</f>
        <v>126916.12</v>
      </c>
      <c r="O18" s="41">
        <v>162.63999999999999</v>
      </c>
      <c r="P18" s="232">
        <v>1048.46</v>
      </c>
      <c r="AH18" t="s">
        <v>87</v>
      </c>
    </row>
    <row r="19" spans="1:35">
      <c r="B19" s="272" t="s">
        <v>65</v>
      </c>
      <c r="C19" s="92">
        <v>694.5</v>
      </c>
      <c r="D19" s="41">
        <v>53.32</v>
      </c>
      <c r="E19" s="41">
        <v>162.82</v>
      </c>
      <c r="F19" s="41">
        <v>72.22</v>
      </c>
      <c r="G19" s="41">
        <v>334.38</v>
      </c>
      <c r="H19" s="113">
        <v>19226.96</v>
      </c>
      <c r="I19" s="41">
        <v>56.44</v>
      </c>
      <c r="J19" s="41">
        <v>43.92</v>
      </c>
      <c r="K19" s="41" t="s">
        <v>26</v>
      </c>
      <c r="L19" s="41">
        <v>8.58</v>
      </c>
      <c r="M19" s="41">
        <v>2673.9</v>
      </c>
      <c r="N19" s="107">
        <f>56522.73*2</f>
        <v>113045.46</v>
      </c>
      <c r="O19" s="41">
        <v>136.5</v>
      </c>
      <c r="P19" s="232">
        <v>1834.16</v>
      </c>
    </row>
    <row r="20" spans="1:35">
      <c r="B20" s="272" t="s">
        <v>66</v>
      </c>
      <c r="C20" s="92">
        <v>316.10000000000002</v>
      </c>
      <c r="D20" s="41">
        <v>19.88</v>
      </c>
      <c r="E20" s="41">
        <v>83.58</v>
      </c>
      <c r="F20" s="41">
        <v>12.58</v>
      </c>
      <c r="G20" s="41">
        <v>344</v>
      </c>
      <c r="H20" s="113">
        <v>15613.34</v>
      </c>
      <c r="I20" s="41">
        <v>127.62</v>
      </c>
      <c r="J20" s="41">
        <v>31.12</v>
      </c>
      <c r="K20" s="41">
        <v>361.72</v>
      </c>
      <c r="L20" s="41">
        <v>22.3</v>
      </c>
      <c r="M20" s="41">
        <v>1443.2</v>
      </c>
      <c r="N20" s="107">
        <f>29304.79*2</f>
        <v>58609.58</v>
      </c>
      <c r="O20" s="41">
        <v>61.6</v>
      </c>
      <c r="P20" s="232">
        <v>1738.68</v>
      </c>
    </row>
    <row r="21" spans="1:35">
      <c r="B21" s="273" t="s">
        <v>67</v>
      </c>
      <c r="C21" s="93">
        <v>724.48</v>
      </c>
      <c r="D21" s="43">
        <v>34.479999999999997</v>
      </c>
      <c r="E21" s="43">
        <v>46.98</v>
      </c>
      <c r="F21" s="43">
        <v>60.92</v>
      </c>
      <c r="G21" s="43">
        <v>457.42</v>
      </c>
      <c r="H21" s="114">
        <v>15096.9</v>
      </c>
      <c r="I21" s="43">
        <v>97.12</v>
      </c>
      <c r="J21" s="43">
        <v>32.54</v>
      </c>
      <c r="K21" s="43" t="s">
        <v>26</v>
      </c>
      <c r="L21" s="43">
        <v>16.02</v>
      </c>
      <c r="M21" s="43">
        <v>1606.62</v>
      </c>
      <c r="N21" s="110">
        <f>28117.44*2</f>
        <v>56234.879999999997</v>
      </c>
      <c r="O21" s="43">
        <v>21.78</v>
      </c>
      <c r="P21" s="233">
        <v>2115.8000000000002</v>
      </c>
    </row>
    <row r="22" spans="1:35">
      <c r="B22" s="227" t="s">
        <v>40</v>
      </c>
      <c r="C22" s="55">
        <v>97.58</v>
      </c>
      <c r="D22" s="31">
        <v>24.32</v>
      </c>
      <c r="E22" s="31">
        <v>39.46</v>
      </c>
      <c r="F22" s="31">
        <v>5.71</v>
      </c>
      <c r="G22" s="31">
        <v>90.77</v>
      </c>
      <c r="H22" s="31">
        <v>12877.11</v>
      </c>
      <c r="I22" s="31">
        <v>60.16</v>
      </c>
      <c r="J22" s="31">
        <v>22.32</v>
      </c>
      <c r="K22" s="31" t="s">
        <v>26</v>
      </c>
      <c r="L22" s="31">
        <v>9.1300000000000008</v>
      </c>
      <c r="M22" s="50">
        <v>1104.8800000000001</v>
      </c>
      <c r="N22" s="107">
        <v>34217.279999999999</v>
      </c>
      <c r="O22" s="31">
        <v>23.68</v>
      </c>
      <c r="P22" s="226">
        <v>583.95000000000005</v>
      </c>
    </row>
    <row r="23" spans="1:35">
      <c r="B23" s="227" t="s">
        <v>41</v>
      </c>
      <c r="C23" s="55">
        <v>100.09</v>
      </c>
      <c r="D23" s="31">
        <v>38.69</v>
      </c>
      <c r="E23" s="31">
        <v>24.59</v>
      </c>
      <c r="F23" s="31">
        <v>38.64</v>
      </c>
      <c r="G23" s="31">
        <v>559.32000000000005</v>
      </c>
      <c r="H23" s="31">
        <v>12126.95</v>
      </c>
      <c r="I23" s="31">
        <v>43.15</v>
      </c>
      <c r="J23" s="31">
        <v>20.76</v>
      </c>
      <c r="K23" s="31" t="s">
        <v>26</v>
      </c>
      <c r="L23" s="31">
        <v>8.6</v>
      </c>
      <c r="M23" s="50">
        <v>1217.28</v>
      </c>
      <c r="N23" s="107">
        <v>33614.06</v>
      </c>
      <c r="O23" s="31" t="s">
        <v>26</v>
      </c>
      <c r="P23" s="226">
        <v>822.24</v>
      </c>
    </row>
    <row r="24" spans="1:35">
      <c r="A24" s="66"/>
      <c r="B24" s="227" t="s">
        <v>42</v>
      </c>
      <c r="C24" s="55">
        <v>227.89</v>
      </c>
      <c r="D24" s="31">
        <v>63.14</v>
      </c>
      <c r="E24" s="31">
        <v>167.88</v>
      </c>
      <c r="F24" s="31">
        <v>10.96</v>
      </c>
      <c r="G24" s="31">
        <v>218.76</v>
      </c>
      <c r="H24" s="31">
        <v>16339.74</v>
      </c>
      <c r="I24" s="31">
        <v>57.54</v>
      </c>
      <c r="J24" s="31">
        <v>52.64</v>
      </c>
      <c r="K24" s="31">
        <v>636.24</v>
      </c>
      <c r="L24" s="31">
        <v>5.47</v>
      </c>
      <c r="M24" s="50">
        <v>2179.58</v>
      </c>
      <c r="N24" s="107">
        <v>106677.09</v>
      </c>
      <c r="O24" s="31">
        <v>123.39</v>
      </c>
      <c r="P24" s="226">
        <v>378.26</v>
      </c>
      <c r="R24" s="276"/>
    </row>
    <row r="25" spans="1:35">
      <c r="A25" s="66"/>
      <c r="B25" s="227" t="s">
        <v>43</v>
      </c>
      <c r="C25" s="55">
        <v>1454.73</v>
      </c>
      <c r="D25" s="31">
        <v>70.58</v>
      </c>
      <c r="E25" s="31">
        <v>154.87</v>
      </c>
      <c r="F25" s="31">
        <v>45.22</v>
      </c>
      <c r="G25" s="31">
        <v>577.1</v>
      </c>
      <c r="H25" s="31">
        <v>13723.08</v>
      </c>
      <c r="I25" s="31">
        <v>53.77</v>
      </c>
      <c r="J25" s="31">
        <v>51.05</v>
      </c>
      <c r="K25" s="31">
        <v>67.040000000000006</v>
      </c>
      <c r="L25" s="31">
        <v>6.2</v>
      </c>
      <c r="M25" s="50">
        <v>1961.81</v>
      </c>
      <c r="N25" s="107">
        <v>109678.11</v>
      </c>
      <c r="O25" s="31">
        <v>130.09</v>
      </c>
      <c r="P25" s="226">
        <v>348.67</v>
      </c>
      <c r="Q25" s="82"/>
      <c r="R25" s="66"/>
    </row>
    <row r="26" spans="1:35">
      <c r="A26" s="66"/>
      <c r="B26" s="227" t="s">
        <v>44</v>
      </c>
      <c r="C26" s="55">
        <v>153.02000000000001</v>
      </c>
      <c r="D26" s="31">
        <v>33.49</v>
      </c>
      <c r="E26" s="31">
        <v>71.47</v>
      </c>
      <c r="F26" s="31">
        <v>35.869999999999997</v>
      </c>
      <c r="G26" s="31">
        <v>148.91</v>
      </c>
      <c r="H26" s="31">
        <v>14008.16</v>
      </c>
      <c r="I26" s="31">
        <v>130.04</v>
      </c>
      <c r="J26" s="31">
        <v>36</v>
      </c>
      <c r="K26" s="31">
        <v>355.46</v>
      </c>
      <c r="L26" s="31">
        <v>7.14</v>
      </c>
      <c r="M26" s="50">
        <v>1329.74</v>
      </c>
      <c r="N26" s="107">
        <v>53501.07</v>
      </c>
      <c r="O26" s="31">
        <v>47.94</v>
      </c>
      <c r="P26" s="226">
        <v>1487.44</v>
      </c>
      <c r="Q26" s="82"/>
      <c r="R26" s="66"/>
    </row>
    <row r="27" spans="1:35">
      <c r="A27" s="91"/>
      <c r="B27" s="227" t="s">
        <v>45</v>
      </c>
      <c r="C27" s="55">
        <v>1573.02</v>
      </c>
      <c r="D27" s="31">
        <v>31.36</v>
      </c>
      <c r="E27" s="31">
        <v>54.34</v>
      </c>
      <c r="F27" s="31">
        <v>57.74</v>
      </c>
      <c r="G27" s="31">
        <v>796.05</v>
      </c>
      <c r="H27" s="31">
        <v>12085.94</v>
      </c>
      <c r="I27" s="31">
        <v>85.39</v>
      </c>
      <c r="J27" s="31">
        <v>33.74</v>
      </c>
      <c r="K27" s="31" t="s">
        <v>26</v>
      </c>
      <c r="L27" s="31">
        <v>11.73</v>
      </c>
      <c r="M27" s="50">
        <v>923.49</v>
      </c>
      <c r="N27" s="107">
        <v>57365.87</v>
      </c>
      <c r="O27" s="31">
        <v>38.22</v>
      </c>
      <c r="P27" s="226">
        <v>1542.75</v>
      </c>
      <c r="Q27" s="82"/>
      <c r="R27" s="66"/>
    </row>
    <row r="28" spans="1:35">
      <c r="A28" s="91"/>
      <c r="B28" s="274" t="s">
        <v>75</v>
      </c>
      <c r="C28" s="216">
        <v>199.94</v>
      </c>
      <c r="D28" s="39" t="s">
        <v>26</v>
      </c>
      <c r="E28" s="39">
        <v>35.82</v>
      </c>
      <c r="F28" s="39">
        <v>11.36</v>
      </c>
      <c r="G28" s="39" t="s">
        <v>26</v>
      </c>
      <c r="H28" s="39">
        <v>13875.94</v>
      </c>
      <c r="I28" s="39">
        <v>37.08</v>
      </c>
      <c r="J28" s="39">
        <v>21.68</v>
      </c>
      <c r="K28" s="39" t="s">
        <v>26</v>
      </c>
      <c r="L28" s="39">
        <v>19.36</v>
      </c>
      <c r="M28" s="217">
        <v>1166.5999999999999</v>
      </c>
      <c r="N28" s="111">
        <v>32748.3</v>
      </c>
      <c r="O28" s="39">
        <v>253.34</v>
      </c>
      <c r="P28" s="234">
        <f>716.04*2</f>
        <v>1432.08</v>
      </c>
      <c r="Q28" s="32"/>
      <c r="R28" s="66"/>
    </row>
    <row r="29" spans="1:35">
      <c r="A29" s="91"/>
      <c r="B29" s="272" t="s">
        <v>76</v>
      </c>
      <c r="C29" s="92">
        <v>186.6</v>
      </c>
      <c r="D29" s="41">
        <v>21.68</v>
      </c>
      <c r="E29" s="41">
        <v>12.14</v>
      </c>
      <c r="F29" s="41">
        <v>88.3</v>
      </c>
      <c r="G29" s="41">
        <v>372.78</v>
      </c>
      <c r="H29" s="41">
        <v>14116.4</v>
      </c>
      <c r="I29" s="41">
        <v>17.739999999999998</v>
      </c>
      <c r="J29" s="41">
        <v>19.899999999999999</v>
      </c>
      <c r="K29" s="41" t="s">
        <v>26</v>
      </c>
      <c r="L29" s="41">
        <v>10.28</v>
      </c>
      <c r="M29" s="61">
        <v>1220.96</v>
      </c>
      <c r="N29" s="107">
        <v>30826.52</v>
      </c>
      <c r="O29" s="41" t="s">
        <v>26</v>
      </c>
      <c r="P29" s="232">
        <v>2396.96</v>
      </c>
      <c r="Q29" s="113"/>
      <c r="R29" s="66"/>
      <c r="W29" s="3"/>
      <c r="X29" s="3"/>
      <c r="Y29" s="3"/>
    </row>
    <row r="30" spans="1:35">
      <c r="A30" s="91"/>
      <c r="B30" s="272" t="s">
        <v>77</v>
      </c>
      <c r="C30" s="92">
        <v>263.98</v>
      </c>
      <c r="D30" s="41">
        <v>39.54</v>
      </c>
      <c r="E30" s="41">
        <v>166.56</v>
      </c>
      <c r="F30" s="41">
        <v>24.86</v>
      </c>
      <c r="G30" s="41">
        <v>335.6</v>
      </c>
      <c r="H30" s="41">
        <v>19276.16</v>
      </c>
      <c r="I30" s="41">
        <v>67.28</v>
      </c>
      <c r="J30" s="41">
        <v>46.7</v>
      </c>
      <c r="K30" s="41">
        <v>257.64</v>
      </c>
      <c r="L30" s="41">
        <v>12.6</v>
      </c>
      <c r="M30" s="61">
        <v>2221.1999999999998</v>
      </c>
      <c r="N30" s="107">
        <v>108209.34</v>
      </c>
      <c r="O30" s="41">
        <v>123.66</v>
      </c>
      <c r="P30" s="232">
        <v>960.82</v>
      </c>
      <c r="Q30" s="113"/>
      <c r="R30" s="66"/>
      <c r="W30" s="3"/>
      <c r="X30" s="3"/>
      <c r="Y30" s="3"/>
    </row>
    <row r="31" spans="1:35">
      <c r="A31" s="91"/>
      <c r="B31" s="272" t="s">
        <v>78</v>
      </c>
      <c r="C31" s="92">
        <v>599.62</v>
      </c>
      <c r="D31" s="41">
        <v>48.48</v>
      </c>
      <c r="E31" s="41">
        <v>145.13999999999999</v>
      </c>
      <c r="F31" s="41">
        <v>90.96</v>
      </c>
      <c r="G31" s="41">
        <v>534.9</v>
      </c>
      <c r="H31" s="41">
        <v>18045.599999999999</v>
      </c>
      <c r="I31" s="41">
        <v>62.54</v>
      </c>
      <c r="J31" s="41">
        <v>46.6</v>
      </c>
      <c r="K31" s="41" t="s">
        <v>26</v>
      </c>
      <c r="L31" s="41">
        <v>0.94</v>
      </c>
      <c r="M31" s="61">
        <v>2562</v>
      </c>
      <c r="N31" s="107">
        <v>104179.08</v>
      </c>
      <c r="O31" s="41">
        <v>102.1</v>
      </c>
      <c r="P31" s="232">
        <v>1554.78</v>
      </c>
      <c r="Q31" s="113"/>
      <c r="R31" s="181"/>
    </row>
    <row r="32" spans="1:35">
      <c r="A32" s="91"/>
      <c r="B32" s="272" t="s">
        <v>79</v>
      </c>
      <c r="C32" s="92">
        <v>249.22</v>
      </c>
      <c r="D32" s="41">
        <v>18.52</v>
      </c>
      <c r="E32" s="41">
        <v>70.92</v>
      </c>
      <c r="F32" s="41">
        <v>14.64</v>
      </c>
      <c r="G32" s="41" t="s">
        <v>26</v>
      </c>
      <c r="H32" s="41">
        <v>15613.36</v>
      </c>
      <c r="I32" s="41">
        <v>68.900000000000006</v>
      </c>
      <c r="J32" s="41">
        <v>34.26</v>
      </c>
      <c r="K32" s="41">
        <v>202.04</v>
      </c>
      <c r="L32" s="41">
        <v>16.48</v>
      </c>
      <c r="M32" s="61">
        <v>1364.46</v>
      </c>
      <c r="N32" s="107">
        <v>53847.56</v>
      </c>
      <c r="O32" s="41">
        <v>41.1</v>
      </c>
      <c r="P32" s="235">
        <f>802.06*2</f>
        <v>1604.12</v>
      </c>
      <c r="Q32" s="32"/>
      <c r="R32" s="66"/>
    </row>
    <row r="33" spans="1:18">
      <c r="A33" s="66"/>
      <c r="B33" s="273" t="s">
        <v>80</v>
      </c>
      <c r="C33" s="93">
        <v>684.6</v>
      </c>
      <c r="D33" s="43">
        <v>31.42</v>
      </c>
      <c r="E33" s="43">
        <v>36.26</v>
      </c>
      <c r="F33" s="43">
        <v>54.14</v>
      </c>
      <c r="G33" s="43">
        <v>724.02</v>
      </c>
      <c r="H33" s="43">
        <v>15131</v>
      </c>
      <c r="I33" s="43">
        <v>46.96</v>
      </c>
      <c r="J33" s="43">
        <v>32.880000000000003</v>
      </c>
      <c r="K33" s="43" t="s">
        <v>26</v>
      </c>
      <c r="L33" s="43">
        <v>0.42</v>
      </c>
      <c r="M33" s="62">
        <v>1460.6</v>
      </c>
      <c r="N33" s="110">
        <v>55091.86</v>
      </c>
      <c r="O33" s="43" t="s">
        <v>26</v>
      </c>
      <c r="P33" s="233">
        <v>2013.86</v>
      </c>
      <c r="Q33" s="113"/>
      <c r="R33" s="66"/>
    </row>
    <row r="34" spans="1:18">
      <c r="A34" s="66"/>
      <c r="B34" s="225" t="s">
        <v>58</v>
      </c>
      <c r="C34" s="56">
        <v>2339.3200000000002</v>
      </c>
      <c r="D34" s="36">
        <v>15.69</v>
      </c>
      <c r="E34" s="36">
        <v>70.25</v>
      </c>
      <c r="F34" s="36">
        <v>2.09</v>
      </c>
      <c r="G34" s="36">
        <v>484.72</v>
      </c>
      <c r="H34" s="36" t="s">
        <v>26</v>
      </c>
      <c r="I34" s="36" t="s">
        <v>26</v>
      </c>
      <c r="J34" s="36">
        <v>15.66</v>
      </c>
      <c r="K34" s="36" t="s">
        <v>26</v>
      </c>
      <c r="L34" s="36" t="s">
        <v>26</v>
      </c>
      <c r="M34" s="49">
        <v>60.83</v>
      </c>
      <c r="N34" s="111">
        <v>47555.74</v>
      </c>
      <c r="O34" s="36">
        <v>197.83</v>
      </c>
      <c r="P34" s="229">
        <v>94.03</v>
      </c>
      <c r="Q34" s="32"/>
      <c r="R34" s="66"/>
    </row>
    <row r="35" spans="1:18">
      <c r="B35" s="227" t="s">
        <v>59</v>
      </c>
      <c r="C35" s="55">
        <v>3772.02</v>
      </c>
      <c r="D35" s="31">
        <v>33.33</v>
      </c>
      <c r="E35" s="31">
        <v>182.72</v>
      </c>
      <c r="F35" s="31">
        <v>6.29</v>
      </c>
      <c r="G35" s="31">
        <v>1671.54</v>
      </c>
      <c r="H35" s="31" t="s">
        <v>26</v>
      </c>
      <c r="I35" s="31">
        <v>25.25</v>
      </c>
      <c r="J35" s="31">
        <v>39.22</v>
      </c>
      <c r="K35" s="31" t="s">
        <v>26</v>
      </c>
      <c r="L35" s="31" t="s">
        <v>26</v>
      </c>
      <c r="M35" s="50">
        <v>179.88</v>
      </c>
      <c r="N35" s="107">
        <v>111666.95</v>
      </c>
      <c r="O35" s="31">
        <v>470.72</v>
      </c>
      <c r="P35" s="226">
        <v>162.16</v>
      </c>
      <c r="Q35" s="13"/>
      <c r="R35" s="66"/>
    </row>
    <row r="36" spans="1:18">
      <c r="B36" s="227" t="s">
        <v>60</v>
      </c>
      <c r="C36" s="55">
        <v>2978.81</v>
      </c>
      <c r="D36" s="31">
        <v>18.850000000000001</v>
      </c>
      <c r="E36" s="31">
        <v>104.32</v>
      </c>
      <c r="F36" s="31">
        <v>6.15</v>
      </c>
      <c r="G36" s="31">
        <v>615.91</v>
      </c>
      <c r="H36" s="31">
        <v>217.39</v>
      </c>
      <c r="I36" s="31">
        <v>10.98</v>
      </c>
      <c r="J36" s="31">
        <v>26.9</v>
      </c>
      <c r="K36" s="31" t="s">
        <v>26</v>
      </c>
      <c r="L36" s="31" t="s">
        <v>26</v>
      </c>
      <c r="M36" s="50">
        <v>105.79</v>
      </c>
      <c r="N36" s="107">
        <v>63880.58</v>
      </c>
      <c r="O36" s="31">
        <v>2457.09</v>
      </c>
      <c r="P36" s="226">
        <v>1363.38</v>
      </c>
      <c r="Q36" s="82"/>
      <c r="R36" s="66"/>
    </row>
    <row r="37" spans="1:18">
      <c r="B37" s="269" t="s">
        <v>50</v>
      </c>
      <c r="C37" s="55">
        <f>93.95*2</f>
        <v>187.9</v>
      </c>
      <c r="D37" s="31">
        <f>9.19*2</f>
        <v>18.38</v>
      </c>
      <c r="E37" s="31">
        <v>37.4</v>
      </c>
      <c r="F37" s="31">
        <v>9.32</v>
      </c>
      <c r="G37" s="31" t="s">
        <v>26</v>
      </c>
      <c r="H37" s="31">
        <v>13068.24</v>
      </c>
      <c r="I37" s="31">
        <v>38.299999999999997</v>
      </c>
      <c r="J37" s="31">
        <v>21.88</v>
      </c>
      <c r="K37" s="31" t="s">
        <v>26</v>
      </c>
      <c r="L37" s="31">
        <v>8.9</v>
      </c>
      <c r="M37" s="50">
        <v>1089.1199999999999</v>
      </c>
      <c r="N37" s="107">
        <v>33009.199999999997</v>
      </c>
      <c r="O37" s="31" t="s">
        <v>26</v>
      </c>
      <c r="P37" s="226">
        <v>694.92</v>
      </c>
      <c r="Q37" s="82"/>
      <c r="R37" s="66"/>
    </row>
    <row r="38" spans="1:18">
      <c r="B38" s="269" t="s">
        <v>51</v>
      </c>
      <c r="C38" s="55">
        <f>101.77*2</f>
        <v>203.54</v>
      </c>
      <c r="D38" s="31">
        <f>19.51*2</f>
        <v>39.020000000000003</v>
      </c>
      <c r="E38" s="31">
        <v>37.72</v>
      </c>
      <c r="F38" s="31">
        <v>32.76</v>
      </c>
      <c r="G38" s="31">
        <v>363.5</v>
      </c>
      <c r="H38" s="31">
        <v>12775.68</v>
      </c>
      <c r="I38" s="31">
        <v>48.96</v>
      </c>
      <c r="J38" s="31">
        <v>21.44</v>
      </c>
      <c r="K38" s="31" t="s">
        <v>26</v>
      </c>
      <c r="L38" s="31">
        <v>12.28</v>
      </c>
      <c r="M38" s="50">
        <v>1263.3800000000001</v>
      </c>
      <c r="N38" s="107">
        <v>35237.040000000001</v>
      </c>
      <c r="O38" s="31" t="s">
        <v>26</v>
      </c>
      <c r="P38" s="226">
        <v>876.6</v>
      </c>
      <c r="Q38" s="82"/>
      <c r="R38" s="66"/>
    </row>
    <row r="39" spans="1:18">
      <c r="B39" s="269" t="s">
        <v>48</v>
      </c>
      <c r="C39" s="55">
        <f>2025.85*2</f>
        <v>4051.7</v>
      </c>
      <c r="D39" s="31">
        <f>23.32*2</f>
        <v>46.64</v>
      </c>
      <c r="E39" s="31">
        <v>197.26</v>
      </c>
      <c r="F39" s="31">
        <v>11.72</v>
      </c>
      <c r="G39" s="31">
        <v>1055.56</v>
      </c>
      <c r="H39" s="31">
        <v>5309.56</v>
      </c>
      <c r="I39" s="31">
        <v>2.06</v>
      </c>
      <c r="J39" s="31">
        <v>51.6</v>
      </c>
      <c r="K39" s="31">
        <v>216.88</v>
      </c>
      <c r="L39" s="31" t="s">
        <v>26</v>
      </c>
      <c r="M39" s="50">
        <v>834.24</v>
      </c>
      <c r="N39" s="107">
        <v>129282.8</v>
      </c>
      <c r="O39" s="31">
        <v>173.88</v>
      </c>
      <c r="P39" s="226">
        <v>406.02</v>
      </c>
      <c r="Q39" s="82"/>
      <c r="R39" s="66"/>
    </row>
    <row r="40" spans="1:18">
      <c r="B40" s="269" t="s">
        <v>49</v>
      </c>
      <c r="C40" s="55">
        <f>1238.76*2</f>
        <v>2477.52</v>
      </c>
      <c r="D40" s="31">
        <f>25.58*2</f>
        <v>51.16</v>
      </c>
      <c r="E40" s="31">
        <v>166.94</v>
      </c>
      <c r="F40" s="31">
        <v>39.299999999999997</v>
      </c>
      <c r="G40" s="31">
        <v>516.32000000000005</v>
      </c>
      <c r="H40" s="31">
        <v>13537.18</v>
      </c>
      <c r="I40" s="31">
        <v>65.66</v>
      </c>
      <c r="J40" s="31">
        <v>50.62</v>
      </c>
      <c r="K40" s="31">
        <v>57.3</v>
      </c>
      <c r="L40" s="31">
        <v>11.16</v>
      </c>
      <c r="M40" s="50">
        <v>1731.18</v>
      </c>
      <c r="N40" s="107">
        <v>117155.24</v>
      </c>
      <c r="O40" s="31">
        <v>144.02000000000001</v>
      </c>
      <c r="P40" s="226">
        <v>428.4</v>
      </c>
      <c r="Q40" s="82"/>
      <c r="R40" s="66"/>
    </row>
    <row r="41" spans="1:18">
      <c r="B41" s="269" t="s">
        <v>46</v>
      </c>
      <c r="C41" s="55">
        <f>165.61*2</f>
        <v>331.22</v>
      </c>
      <c r="D41" s="31">
        <f>13.87*2</f>
        <v>27.74</v>
      </c>
      <c r="E41" s="31">
        <v>70.16</v>
      </c>
      <c r="F41" s="31">
        <v>33.64</v>
      </c>
      <c r="G41" s="31">
        <v>306.88</v>
      </c>
      <c r="H41" s="31">
        <v>14809.28</v>
      </c>
      <c r="I41" s="31">
        <v>65.28</v>
      </c>
      <c r="J41" s="31">
        <v>33.94</v>
      </c>
      <c r="K41" s="31">
        <v>441.42</v>
      </c>
      <c r="L41" s="31">
        <v>11.7</v>
      </c>
      <c r="M41" s="50">
        <v>1257</v>
      </c>
      <c r="N41" s="107">
        <v>56241.46</v>
      </c>
      <c r="O41" s="31">
        <v>50.48</v>
      </c>
      <c r="P41" s="226">
        <v>1537.18</v>
      </c>
      <c r="Q41" s="82"/>
      <c r="R41" s="66"/>
    </row>
    <row r="42" spans="1:18">
      <c r="B42" s="270" t="s">
        <v>47</v>
      </c>
      <c r="C42" s="59">
        <f>938.3*2</f>
        <v>1876.6</v>
      </c>
      <c r="D42" s="37">
        <f>14.3*2</f>
        <v>28.6</v>
      </c>
      <c r="E42" s="37">
        <v>60.5</v>
      </c>
      <c r="F42" s="37">
        <v>44.06</v>
      </c>
      <c r="G42" s="37">
        <v>749.62</v>
      </c>
      <c r="H42" s="37">
        <v>12340.88</v>
      </c>
      <c r="I42" s="37">
        <v>56.14</v>
      </c>
      <c r="J42" s="37">
        <v>32.200000000000003</v>
      </c>
      <c r="K42" s="37">
        <v>48.44</v>
      </c>
      <c r="L42" s="37">
        <v>15.96</v>
      </c>
      <c r="M42" s="51">
        <v>849.18</v>
      </c>
      <c r="N42" s="110">
        <v>56142.68</v>
      </c>
      <c r="O42" s="37">
        <v>42.6</v>
      </c>
      <c r="P42" s="231">
        <v>1486.3</v>
      </c>
      <c r="Q42" s="82"/>
      <c r="R42" s="66"/>
    </row>
    <row r="43" spans="1:18">
      <c r="B43" s="269" t="s">
        <v>88</v>
      </c>
      <c r="C43" s="56">
        <v>153.04</v>
      </c>
      <c r="D43" s="36">
        <v>12.02</v>
      </c>
      <c r="E43" s="36">
        <v>31.5</v>
      </c>
      <c r="F43" s="36">
        <v>20.68</v>
      </c>
      <c r="G43" s="36" t="s">
        <v>26</v>
      </c>
      <c r="H43" s="36">
        <v>14200.68</v>
      </c>
      <c r="I43" s="36">
        <v>56.52</v>
      </c>
      <c r="J43" s="36">
        <v>20.98</v>
      </c>
      <c r="K43" s="36" t="s">
        <v>26</v>
      </c>
      <c r="L43" s="36">
        <v>20.7</v>
      </c>
      <c r="M43" s="36">
        <v>1111.0999999999999</v>
      </c>
      <c r="N43" s="111">
        <v>31969.82</v>
      </c>
      <c r="O43" s="36">
        <v>18.559999999999999</v>
      </c>
      <c r="P43" s="229">
        <v>1362.96</v>
      </c>
      <c r="Q43" s="82"/>
      <c r="R43" s="66"/>
    </row>
    <row r="44" spans="1:18">
      <c r="B44" s="269" t="s">
        <v>89</v>
      </c>
      <c r="C44" s="55">
        <v>122.76</v>
      </c>
      <c r="D44" s="31">
        <v>17.66</v>
      </c>
      <c r="E44" s="31">
        <v>20.079999999999998</v>
      </c>
      <c r="F44" s="31">
        <v>78.84</v>
      </c>
      <c r="G44" s="31">
        <v>232.14</v>
      </c>
      <c r="H44" s="31">
        <v>14139.3</v>
      </c>
      <c r="I44" s="31">
        <v>0.32</v>
      </c>
      <c r="J44" s="31">
        <v>15.76</v>
      </c>
      <c r="K44" s="31" t="s">
        <v>26</v>
      </c>
      <c r="L44" s="31">
        <v>12.62</v>
      </c>
      <c r="M44" s="31">
        <v>1205.5</v>
      </c>
      <c r="N44" s="107">
        <v>28797.72</v>
      </c>
      <c r="O44" s="31">
        <v>183.78</v>
      </c>
      <c r="P44" s="226">
        <v>2562.84</v>
      </c>
      <c r="Q44" s="82"/>
      <c r="R44" s="66"/>
    </row>
    <row r="45" spans="1:18">
      <c r="B45" s="269" t="s">
        <v>90</v>
      </c>
      <c r="C45" s="55">
        <v>245.74</v>
      </c>
      <c r="D45" s="31">
        <v>39.86</v>
      </c>
      <c r="E45" s="31">
        <v>153.54</v>
      </c>
      <c r="F45" s="31">
        <v>20.78</v>
      </c>
      <c r="G45" s="31">
        <v>451.48</v>
      </c>
      <c r="H45" s="31">
        <v>17469.240000000002</v>
      </c>
      <c r="I45" s="31">
        <v>38.159999999999997</v>
      </c>
      <c r="J45" s="31">
        <v>45.22</v>
      </c>
      <c r="K45" s="31">
        <v>417.08</v>
      </c>
      <c r="L45" s="31" t="s">
        <v>26</v>
      </c>
      <c r="M45" s="31">
        <v>1908.42</v>
      </c>
      <c r="N45" s="107">
        <v>96544.88</v>
      </c>
      <c r="O45" s="31">
        <v>117.06</v>
      </c>
      <c r="P45" s="226">
        <v>602.82000000000005</v>
      </c>
    </row>
    <row r="46" spans="1:18">
      <c r="B46" s="269" t="s">
        <v>91</v>
      </c>
      <c r="C46" s="55">
        <v>576.88</v>
      </c>
      <c r="D46" s="31">
        <v>33.700000000000003</v>
      </c>
      <c r="E46" s="31">
        <v>122.92</v>
      </c>
      <c r="F46" s="31">
        <v>60.12</v>
      </c>
      <c r="G46" s="31">
        <v>368.5</v>
      </c>
      <c r="H46" s="31">
        <v>15065.94</v>
      </c>
      <c r="I46" s="31">
        <v>35.36</v>
      </c>
      <c r="J46" s="31" t="s">
        <v>26</v>
      </c>
      <c r="K46" s="31" t="s">
        <v>26</v>
      </c>
      <c r="L46" s="31" t="s">
        <v>26</v>
      </c>
      <c r="M46" s="31">
        <v>2215.48</v>
      </c>
      <c r="N46" s="107">
        <v>84711.679999999993</v>
      </c>
      <c r="O46" s="31" t="s">
        <v>26</v>
      </c>
      <c r="P46" s="226">
        <v>1238.1400000000001</v>
      </c>
    </row>
    <row r="47" spans="1:18">
      <c r="B47" s="269" t="s">
        <v>92</v>
      </c>
      <c r="C47" s="55">
        <v>197.78</v>
      </c>
      <c r="D47" s="31">
        <v>22.42</v>
      </c>
      <c r="E47" s="31">
        <v>62.48</v>
      </c>
      <c r="F47" s="31">
        <v>13.72</v>
      </c>
      <c r="G47" s="31">
        <v>315.92</v>
      </c>
      <c r="H47" s="31">
        <v>15422.64</v>
      </c>
      <c r="I47" s="31">
        <v>56.14</v>
      </c>
      <c r="J47" s="31">
        <v>30.9</v>
      </c>
      <c r="K47" s="31">
        <v>351.62</v>
      </c>
      <c r="L47" s="31" t="s">
        <v>26</v>
      </c>
      <c r="M47" s="31">
        <v>1283.8800000000001</v>
      </c>
      <c r="N47" s="107">
        <v>51937.72</v>
      </c>
      <c r="O47" s="31">
        <v>41.64</v>
      </c>
      <c r="P47" s="226">
        <v>1604.62</v>
      </c>
    </row>
    <row r="48" spans="1:18" ht="15" thickBot="1">
      <c r="A48" s="2"/>
      <c r="B48" s="271" t="s">
        <v>93</v>
      </c>
      <c r="C48" s="236">
        <v>499.44</v>
      </c>
      <c r="D48" s="237">
        <v>23.74</v>
      </c>
      <c r="E48" s="237">
        <v>37.299999999999997</v>
      </c>
      <c r="F48" s="237">
        <v>64.040000000000006</v>
      </c>
      <c r="G48" s="237">
        <v>586.52</v>
      </c>
      <c r="H48" s="237">
        <v>15824.3</v>
      </c>
      <c r="I48" s="237">
        <v>54.58</v>
      </c>
      <c r="J48" s="237">
        <v>31.58</v>
      </c>
      <c r="K48" s="237" t="s">
        <v>26</v>
      </c>
      <c r="L48" s="237">
        <v>13.74</v>
      </c>
      <c r="M48" s="237">
        <v>1476.86</v>
      </c>
      <c r="N48" s="238">
        <v>51700.1</v>
      </c>
      <c r="O48" s="237">
        <v>16.88</v>
      </c>
      <c r="P48" s="239">
        <v>2218.34</v>
      </c>
    </row>
    <row r="49" spans="1:19">
      <c r="B49" s="35" t="s">
        <v>68</v>
      </c>
      <c r="I49" s="34"/>
    </row>
    <row r="50" spans="1:19">
      <c r="B50" s="8" t="s">
        <v>70</v>
      </c>
      <c r="I50" s="34"/>
    </row>
    <row r="51" spans="1:19">
      <c r="B51" s="53" t="s">
        <v>69</v>
      </c>
      <c r="I51" s="34"/>
      <c r="S51" s="3"/>
    </row>
    <row r="52" spans="1:19">
      <c r="A52" s="5"/>
      <c r="B52" s="8" t="s">
        <v>71</v>
      </c>
      <c r="I52" s="34"/>
      <c r="S52" s="3"/>
    </row>
    <row r="53" spans="1:19">
      <c r="A53" s="5"/>
      <c r="I53" s="34"/>
      <c r="S53" s="3"/>
    </row>
    <row r="54" spans="1:19">
      <c r="A54" s="5"/>
      <c r="B54" s="8" t="s">
        <v>125</v>
      </c>
      <c r="I54" s="34"/>
    </row>
    <row r="55" spans="1:19">
      <c r="A55" s="5"/>
      <c r="B55" s="90"/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</row>
    <row r="56" spans="1:19">
      <c r="A56" s="5"/>
      <c r="B56" s="90"/>
      <c r="C56" s="41"/>
      <c r="D56" s="41"/>
      <c r="E56" s="41"/>
      <c r="F56" s="41"/>
      <c r="G56" s="41"/>
      <c r="H56" s="33"/>
      <c r="I56" s="33"/>
      <c r="J56" s="33"/>
      <c r="K56" s="33"/>
      <c r="L56" s="33"/>
      <c r="M56" s="33"/>
      <c r="N56" s="33"/>
      <c r="O56" s="33"/>
      <c r="P56" s="33"/>
    </row>
    <row r="57" spans="1:19">
      <c r="A57" s="5"/>
      <c r="B57" s="90"/>
      <c r="C57" s="41"/>
      <c r="D57" s="41"/>
      <c r="E57" s="41"/>
      <c r="F57" s="41"/>
      <c r="G57" s="41"/>
      <c r="H57" s="33"/>
      <c r="I57" s="33"/>
      <c r="J57" s="33"/>
      <c r="K57" s="33"/>
      <c r="L57" s="33"/>
      <c r="M57" s="33"/>
      <c r="N57" s="33"/>
      <c r="O57" s="33"/>
      <c r="P57" s="33"/>
    </row>
    <row r="58" spans="1:19">
      <c r="B58" s="90"/>
      <c r="C58" s="41"/>
      <c r="D58" s="41"/>
      <c r="E58" s="41"/>
      <c r="F58" s="41"/>
      <c r="G58" s="41"/>
      <c r="H58" s="33"/>
      <c r="I58" s="33"/>
      <c r="J58" s="33"/>
      <c r="K58" s="33"/>
      <c r="L58" s="33"/>
      <c r="M58" s="33"/>
      <c r="N58" s="33"/>
      <c r="O58" s="33"/>
      <c r="P58" s="33"/>
      <c r="Q58" s="20"/>
      <c r="R58" s="23"/>
      <c r="S58" s="3"/>
    </row>
    <row r="59" spans="1:19">
      <c r="B59" s="90"/>
      <c r="C59" s="41"/>
      <c r="D59" s="41"/>
      <c r="E59" s="41"/>
      <c r="F59" s="41"/>
      <c r="G59" s="41"/>
      <c r="H59" s="33"/>
      <c r="I59" s="33"/>
      <c r="J59" s="33"/>
      <c r="K59" s="33"/>
      <c r="L59" s="33"/>
      <c r="M59" s="33"/>
      <c r="N59" s="33"/>
      <c r="O59" s="33"/>
      <c r="P59" s="33"/>
      <c r="Q59" s="20"/>
      <c r="R59" s="23"/>
      <c r="S59" s="3"/>
    </row>
    <row r="60" spans="1:19">
      <c r="A60" s="1"/>
      <c r="B60" s="90"/>
      <c r="C60" s="41"/>
      <c r="D60" s="41"/>
      <c r="E60" s="41"/>
      <c r="F60" s="41"/>
      <c r="G60" s="41"/>
      <c r="H60" s="33"/>
      <c r="I60" s="33"/>
      <c r="J60" s="33"/>
      <c r="K60" s="33"/>
      <c r="L60" s="33"/>
      <c r="M60" s="33"/>
      <c r="N60" s="33"/>
      <c r="O60" s="33"/>
      <c r="P60" s="33"/>
      <c r="Q60" s="20"/>
      <c r="R60" s="23"/>
      <c r="S60" s="3"/>
    </row>
    <row r="61" spans="1:19">
      <c r="A61" s="1"/>
      <c r="B61" s="90"/>
      <c r="C61" s="41"/>
      <c r="D61" s="41"/>
      <c r="E61" s="41"/>
      <c r="F61" s="41"/>
      <c r="G61" s="41"/>
      <c r="H61" s="33"/>
      <c r="I61" s="33"/>
      <c r="J61" s="33"/>
      <c r="K61" s="33"/>
      <c r="L61" s="33"/>
      <c r="M61" s="33"/>
      <c r="N61" s="33"/>
      <c r="O61" s="33"/>
      <c r="P61" s="33"/>
      <c r="Q61" s="20"/>
      <c r="R61" s="23"/>
      <c r="S61" s="3"/>
    </row>
    <row r="62" spans="1:19">
      <c r="A62" s="2"/>
      <c r="B62" s="90"/>
      <c r="C62" s="33"/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20"/>
      <c r="R62" s="23"/>
      <c r="S62" s="3"/>
    </row>
    <row r="63" spans="1:19">
      <c r="A63" s="2"/>
      <c r="B63" s="90"/>
      <c r="C63" s="41"/>
      <c r="D63" s="41"/>
      <c r="E63" s="41"/>
      <c r="F63" s="41"/>
      <c r="G63" s="41"/>
      <c r="H63" s="41"/>
      <c r="I63" s="33"/>
      <c r="J63" s="33"/>
      <c r="K63" s="33"/>
      <c r="L63" s="33"/>
      <c r="M63" s="33"/>
      <c r="N63" s="33"/>
      <c r="O63" s="33"/>
      <c r="P63" s="33"/>
      <c r="Q63" s="20"/>
      <c r="R63" s="23"/>
      <c r="S63" s="3"/>
    </row>
    <row r="64" spans="1:19">
      <c r="B64" s="90"/>
      <c r="C64" s="41"/>
      <c r="D64" s="41"/>
      <c r="E64" s="41"/>
      <c r="F64" s="41"/>
      <c r="G64" s="41"/>
      <c r="H64" s="41"/>
      <c r="I64" s="33"/>
      <c r="J64" s="33"/>
      <c r="K64" s="33"/>
      <c r="L64" s="33"/>
      <c r="M64" s="33"/>
      <c r="N64" s="33"/>
      <c r="O64" s="33"/>
      <c r="P64" s="33"/>
      <c r="Q64" s="20"/>
      <c r="R64" s="3"/>
      <c r="S64" s="3"/>
    </row>
    <row r="65" spans="1:19">
      <c r="B65" s="90"/>
      <c r="C65" s="41"/>
      <c r="D65" s="41"/>
      <c r="E65" s="41"/>
      <c r="F65" s="41"/>
      <c r="G65" s="41"/>
      <c r="H65" s="41"/>
      <c r="I65" s="33"/>
      <c r="J65" s="33"/>
      <c r="K65" s="33"/>
      <c r="L65" s="33"/>
      <c r="M65" s="33"/>
      <c r="N65" s="33"/>
      <c r="O65" s="33"/>
      <c r="P65" s="33"/>
      <c r="Q65" s="20"/>
      <c r="R65" s="3"/>
      <c r="S65" s="3"/>
    </row>
    <row r="66" spans="1:19">
      <c r="B66" s="90"/>
      <c r="C66" s="41"/>
      <c r="D66" s="41"/>
      <c r="E66" s="41"/>
      <c r="F66" s="41"/>
      <c r="G66" s="41"/>
      <c r="H66" s="41"/>
      <c r="I66" s="33"/>
      <c r="J66" s="33"/>
      <c r="K66" s="33"/>
      <c r="L66" s="33"/>
      <c r="M66" s="33"/>
      <c r="N66" s="33"/>
      <c r="O66" s="33"/>
      <c r="P66" s="33"/>
    </row>
    <row r="67" spans="1:19">
      <c r="A67" s="5"/>
      <c r="B67" s="90"/>
      <c r="C67" s="41"/>
      <c r="D67" s="41"/>
      <c r="E67" s="41"/>
      <c r="F67" s="41"/>
      <c r="G67" s="41"/>
      <c r="H67" s="41"/>
      <c r="I67" s="33"/>
      <c r="J67" s="33"/>
      <c r="K67" s="33"/>
      <c r="L67" s="33"/>
      <c r="M67" s="33"/>
      <c r="N67" s="33"/>
      <c r="O67" s="33"/>
      <c r="P67" s="33"/>
    </row>
    <row r="68" spans="1:19">
      <c r="A68" s="5"/>
      <c r="B68" s="90"/>
      <c r="C68" s="41"/>
      <c r="D68" s="41"/>
      <c r="E68" s="41"/>
      <c r="F68" s="41"/>
      <c r="G68" s="41"/>
      <c r="H68" s="41"/>
      <c r="I68" s="33"/>
      <c r="J68" s="33"/>
      <c r="K68" s="33"/>
      <c r="L68" s="33"/>
      <c r="M68" s="33"/>
      <c r="N68" s="33"/>
      <c r="O68" s="33"/>
      <c r="P68" s="33"/>
    </row>
    <row r="69" spans="1:19">
      <c r="A69" s="5"/>
      <c r="B69" s="90"/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</row>
    <row r="70" spans="1:19">
      <c r="A70" s="5"/>
      <c r="B70" s="90"/>
      <c r="C70" s="33"/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</row>
    <row r="71" spans="1:19">
      <c r="A71" s="5"/>
      <c r="B71" s="90"/>
      <c r="C71" s="33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</row>
    <row r="72" spans="1:19">
      <c r="A72" s="5"/>
    </row>
  </sheetData>
  <mergeCells count="2">
    <mergeCell ref="N5:P5"/>
    <mergeCell ref="C5:M5"/>
  </mergeCells>
  <pageMargins left="0.7" right="0.7" top="0.75" bottom="0.75" header="0.3" footer="0.3"/>
  <pageSetup paperSize="9" orientation="portrait" horizontalDpi="4294967293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U51"/>
  <sheetViews>
    <sheetView zoomScale="60" zoomScaleNormal="60" workbookViewId="0">
      <selection activeCell="F40" sqref="F40"/>
    </sheetView>
  </sheetViews>
  <sheetFormatPr defaultRowHeight="14.4"/>
  <cols>
    <col min="1" max="1" width="12.44140625" customWidth="1"/>
    <col min="2" max="2" width="17.109375" style="14" customWidth="1"/>
    <col min="3" max="3" width="13.109375" style="14" customWidth="1"/>
    <col min="4" max="5" width="8.88671875" style="14"/>
    <col min="6" max="6" width="19" style="14" customWidth="1"/>
    <col min="7" max="7" width="8.88671875" style="14"/>
    <col min="8" max="9" width="12.33203125" style="14" customWidth="1"/>
    <col min="10" max="10" width="13.77734375" style="14" customWidth="1"/>
    <col min="11" max="11" width="19.77734375" style="14" customWidth="1"/>
    <col min="12" max="12" width="18.5546875" style="14" customWidth="1"/>
    <col min="13" max="13" width="17.77734375" style="14" customWidth="1"/>
    <col min="14" max="14" width="15" style="14" customWidth="1"/>
    <col min="15" max="15" width="8.88671875" style="14" customWidth="1"/>
    <col min="16" max="16" width="18.77734375" style="14" customWidth="1"/>
    <col min="17" max="17" width="22" style="14" customWidth="1"/>
  </cols>
  <sheetData>
    <row r="1" spans="1:20">
      <c r="B1" s="191" t="s">
        <v>81</v>
      </c>
      <c r="C1" s="192"/>
      <c r="D1" s="192" t="s">
        <v>84</v>
      </c>
      <c r="E1" s="192"/>
      <c r="F1" s="192"/>
      <c r="G1" s="192" t="s">
        <v>32</v>
      </c>
      <c r="H1" s="192"/>
      <c r="I1" s="192"/>
      <c r="J1" s="192"/>
      <c r="K1" s="192"/>
      <c r="L1" s="193"/>
    </row>
    <row r="2" spans="1:20">
      <c r="B2" s="194" t="s">
        <v>82</v>
      </c>
      <c r="C2" s="195"/>
      <c r="D2" s="195" t="s">
        <v>85</v>
      </c>
      <c r="E2" s="195"/>
      <c r="F2" s="195"/>
      <c r="G2" s="195" t="s">
        <v>31</v>
      </c>
      <c r="H2" s="195"/>
      <c r="I2" s="195"/>
      <c r="J2" s="195"/>
      <c r="K2" s="195"/>
      <c r="L2" s="196"/>
    </row>
    <row r="3" spans="1:20" ht="15" thickBot="1">
      <c r="B3" s="197" t="s">
        <v>83</v>
      </c>
      <c r="C3" s="198"/>
      <c r="D3" s="198"/>
      <c r="E3" s="198"/>
      <c r="F3" s="198"/>
      <c r="G3" s="198" t="s">
        <v>30</v>
      </c>
      <c r="H3" s="198"/>
      <c r="I3" s="198"/>
      <c r="J3" s="198"/>
      <c r="K3" s="198"/>
      <c r="L3" s="199"/>
    </row>
    <row r="5" spans="1:20" ht="21.6" thickBot="1">
      <c r="B5" s="200" t="s">
        <v>56</v>
      </c>
    </row>
    <row r="6" spans="1:20">
      <c r="A6" s="3"/>
      <c r="B6" s="212"/>
      <c r="C6" s="301" t="s">
        <v>57</v>
      </c>
      <c r="D6" s="301"/>
      <c r="E6" s="301"/>
      <c r="F6" s="301"/>
      <c r="G6" s="301"/>
      <c r="H6" s="301"/>
      <c r="I6" s="301"/>
      <c r="J6" s="301"/>
      <c r="K6" s="301"/>
      <c r="L6" s="301"/>
      <c r="M6" s="301"/>
      <c r="N6" s="301"/>
      <c r="O6" s="301"/>
      <c r="P6" s="301"/>
      <c r="Q6" s="302"/>
    </row>
    <row r="7" spans="1:20" ht="15" thickBot="1">
      <c r="A7" s="10"/>
      <c r="B7" s="213" t="s">
        <v>55</v>
      </c>
      <c r="C7" s="214" t="s">
        <v>0</v>
      </c>
      <c r="D7" s="214" t="s">
        <v>1</v>
      </c>
      <c r="E7" s="214" t="s">
        <v>2</v>
      </c>
      <c r="F7" s="214" t="s">
        <v>3</v>
      </c>
      <c r="G7" s="214" t="s">
        <v>4</v>
      </c>
      <c r="H7" s="214" t="s">
        <v>5</v>
      </c>
      <c r="I7" s="214" t="s">
        <v>6</v>
      </c>
      <c r="J7" s="214" t="s">
        <v>7</v>
      </c>
      <c r="K7" s="214" t="s">
        <v>8</v>
      </c>
      <c r="L7" s="214" t="s">
        <v>9</v>
      </c>
      <c r="M7" s="214" t="s">
        <v>10</v>
      </c>
      <c r="N7" s="214" t="s">
        <v>11</v>
      </c>
      <c r="O7" s="214" t="s">
        <v>12</v>
      </c>
      <c r="P7" s="214" t="s">
        <v>13</v>
      </c>
      <c r="Q7" s="215" t="s">
        <v>14</v>
      </c>
      <c r="R7" s="9"/>
      <c r="S7" s="8"/>
      <c r="T7" s="8"/>
    </row>
    <row r="8" spans="1:20">
      <c r="A8" s="11"/>
      <c r="B8" s="201" t="s">
        <v>34</v>
      </c>
      <c r="C8" s="190">
        <v>0.58099999999999996</v>
      </c>
      <c r="D8" s="190">
        <v>56.494999999999997</v>
      </c>
      <c r="E8" s="190">
        <v>0.83199999999999996</v>
      </c>
      <c r="F8" s="190">
        <v>1.2999999999999999E-2</v>
      </c>
      <c r="G8" s="190">
        <v>0.38900000000000001</v>
      </c>
      <c r="H8" s="190">
        <v>1.0999999999999999E-2</v>
      </c>
      <c r="I8" s="190">
        <v>1.0999999999999999E-2</v>
      </c>
      <c r="J8" s="190">
        <v>1E-3</v>
      </c>
      <c r="K8" s="190">
        <v>4.2999999999999997E-2</v>
      </c>
      <c r="L8" s="190">
        <v>1E-3</v>
      </c>
      <c r="M8" s="190" t="s">
        <v>26</v>
      </c>
      <c r="N8" s="190">
        <v>2E-3</v>
      </c>
      <c r="O8" s="190">
        <v>7.2450000000000001</v>
      </c>
      <c r="P8" s="57" t="s">
        <v>26</v>
      </c>
      <c r="Q8" s="202" t="s">
        <v>26</v>
      </c>
      <c r="R8" s="8"/>
      <c r="S8" s="8"/>
      <c r="T8" s="8"/>
    </row>
    <row r="9" spans="1:20">
      <c r="A9" s="11"/>
      <c r="B9" s="203" t="s">
        <v>35</v>
      </c>
      <c r="C9" s="31">
        <v>0.373</v>
      </c>
      <c r="D9" s="31">
        <v>378.63499999999999</v>
      </c>
      <c r="E9" s="31">
        <v>1.8460000000000001</v>
      </c>
      <c r="F9" s="31">
        <v>1.2999999999999999E-2</v>
      </c>
      <c r="G9" s="31">
        <v>4.444</v>
      </c>
      <c r="H9" s="31">
        <v>0.11899999999999999</v>
      </c>
      <c r="I9" s="31" t="s">
        <v>26</v>
      </c>
      <c r="J9" s="31">
        <v>4.0000000000000001E-3</v>
      </c>
      <c r="K9" s="31" t="s">
        <v>26</v>
      </c>
      <c r="L9" s="31">
        <v>2E-3</v>
      </c>
      <c r="M9" s="31">
        <v>3.0000000000000001E-3</v>
      </c>
      <c r="N9" s="31">
        <v>4.1000000000000002E-2</v>
      </c>
      <c r="O9" s="31">
        <v>40.04</v>
      </c>
      <c r="P9" s="58" t="s">
        <v>26</v>
      </c>
      <c r="Q9" s="204" t="s">
        <v>26</v>
      </c>
      <c r="R9" s="8"/>
      <c r="S9" s="8"/>
      <c r="T9" s="8"/>
    </row>
    <row r="10" spans="1:20">
      <c r="A10" s="11"/>
      <c r="B10" s="203" t="s">
        <v>36</v>
      </c>
      <c r="C10" s="31">
        <v>0.51300000000000001</v>
      </c>
      <c r="D10" s="31">
        <v>49.881999999999998</v>
      </c>
      <c r="E10" s="32">
        <v>2.1890000000000001</v>
      </c>
      <c r="F10" s="32">
        <v>4.0000000000000001E-3</v>
      </c>
      <c r="G10" s="32">
        <v>4.9889999999999999</v>
      </c>
      <c r="H10" s="32">
        <v>0.105</v>
      </c>
      <c r="I10" s="32">
        <v>2.5999999999999999E-2</v>
      </c>
      <c r="J10" s="32" t="s">
        <v>26</v>
      </c>
      <c r="K10" s="32">
        <v>4.1000000000000002E-2</v>
      </c>
      <c r="L10" s="32" t="s">
        <v>26</v>
      </c>
      <c r="M10" s="32" t="s">
        <v>26</v>
      </c>
      <c r="N10" s="32">
        <v>7.0000000000000001E-3</v>
      </c>
      <c r="O10" s="31">
        <v>1694.4349999999999</v>
      </c>
      <c r="P10" s="58" t="s">
        <v>26</v>
      </c>
      <c r="Q10" s="204" t="s">
        <v>26</v>
      </c>
      <c r="R10" s="8"/>
      <c r="S10" s="8"/>
      <c r="T10" s="8"/>
    </row>
    <row r="11" spans="1:20">
      <c r="A11" s="11"/>
      <c r="B11" s="203" t="s">
        <v>37</v>
      </c>
      <c r="C11" s="31">
        <v>0.20200000000000001</v>
      </c>
      <c r="D11" s="31">
        <v>83.269000000000005</v>
      </c>
      <c r="E11" s="32">
        <v>2.399</v>
      </c>
      <c r="F11" s="32">
        <v>6.0000000000000001E-3</v>
      </c>
      <c r="G11" s="31">
        <v>9.2919999999999998</v>
      </c>
      <c r="H11" s="32">
        <v>0.14399999999999999</v>
      </c>
      <c r="I11" s="32" t="s">
        <v>26</v>
      </c>
      <c r="J11" s="32">
        <v>4.0000000000000001E-3</v>
      </c>
      <c r="K11" s="32">
        <v>1E-3</v>
      </c>
      <c r="L11" s="32">
        <v>1E-3</v>
      </c>
      <c r="M11" s="32">
        <v>2E-3</v>
      </c>
      <c r="N11" s="32">
        <v>3.3000000000000002E-2</v>
      </c>
      <c r="O11" s="32">
        <v>721.91</v>
      </c>
      <c r="P11" s="60" t="s">
        <v>26</v>
      </c>
      <c r="Q11" s="205" t="s">
        <v>26</v>
      </c>
      <c r="R11" s="8" t="s">
        <v>87</v>
      </c>
      <c r="S11" s="8"/>
      <c r="T11" s="8"/>
    </row>
    <row r="12" spans="1:20">
      <c r="A12" s="11"/>
      <c r="B12" s="203" t="s">
        <v>38</v>
      </c>
      <c r="C12" s="31">
        <v>1.331</v>
      </c>
      <c r="D12" s="31">
        <v>43.881999999999998</v>
      </c>
      <c r="E12" s="32">
        <v>1.968</v>
      </c>
      <c r="F12" s="32">
        <v>0.03</v>
      </c>
      <c r="G12" s="32">
        <v>4.9320000000000004</v>
      </c>
      <c r="H12" s="32">
        <v>0.114</v>
      </c>
      <c r="I12" s="32">
        <v>1.4E-2</v>
      </c>
      <c r="J12" s="32">
        <v>7.0000000000000001E-3</v>
      </c>
      <c r="K12" s="32">
        <v>4.2999999999999997E-2</v>
      </c>
      <c r="L12" s="32">
        <v>2E-3</v>
      </c>
      <c r="M12" s="32">
        <v>2E-3</v>
      </c>
      <c r="N12" s="32">
        <v>1.6E-2</v>
      </c>
      <c r="O12" s="31">
        <v>844.72799999999995</v>
      </c>
      <c r="P12" s="58" t="s">
        <v>26</v>
      </c>
      <c r="Q12" s="204" t="s">
        <v>26</v>
      </c>
    </row>
    <row r="13" spans="1:20">
      <c r="A13" s="11"/>
      <c r="B13" s="203" t="s">
        <v>39</v>
      </c>
      <c r="C13" s="31">
        <v>0.14099999999999999</v>
      </c>
      <c r="D13" s="31">
        <v>48.329000000000001</v>
      </c>
      <c r="E13" s="32">
        <v>1.9550000000000001</v>
      </c>
      <c r="F13" s="32">
        <v>0.185</v>
      </c>
      <c r="G13" s="32">
        <v>3.1629999999999998</v>
      </c>
      <c r="H13" s="32">
        <v>0.14199999999999999</v>
      </c>
      <c r="I13" s="32" t="s">
        <v>26</v>
      </c>
      <c r="J13" s="32">
        <v>8.0000000000000002E-3</v>
      </c>
      <c r="K13" s="32">
        <v>1.2E-2</v>
      </c>
      <c r="L13" s="32">
        <v>3.0000000000000001E-3</v>
      </c>
      <c r="M13" s="32">
        <v>2E-3</v>
      </c>
      <c r="N13" s="32">
        <v>2.7E-2</v>
      </c>
      <c r="O13" s="32">
        <v>95.662999999999997</v>
      </c>
      <c r="P13" s="58" t="s">
        <v>26</v>
      </c>
      <c r="Q13" s="204" t="s">
        <v>26</v>
      </c>
    </row>
    <row r="14" spans="1:20">
      <c r="A14" s="11"/>
      <c r="B14" s="206" t="s">
        <v>62</v>
      </c>
      <c r="C14" s="47">
        <v>0.40200000000000002</v>
      </c>
      <c r="D14" s="47">
        <v>73.5</v>
      </c>
      <c r="E14" s="47">
        <v>0.79200000000000004</v>
      </c>
      <c r="F14" s="47">
        <v>1.4E-2</v>
      </c>
      <c r="G14" s="47">
        <v>0.14799999999999999</v>
      </c>
      <c r="H14" s="47">
        <v>1.2E-2</v>
      </c>
      <c r="I14" s="47">
        <v>0.10199999999999999</v>
      </c>
      <c r="J14" s="47" t="s">
        <v>26</v>
      </c>
      <c r="K14" s="47" t="s">
        <v>26</v>
      </c>
      <c r="L14" s="47" t="s">
        <v>26</v>
      </c>
      <c r="M14" s="47" t="s">
        <v>26</v>
      </c>
      <c r="N14" s="47" t="s">
        <v>26</v>
      </c>
      <c r="O14" s="47">
        <v>4.4610000000000003</v>
      </c>
      <c r="P14" s="47" t="s">
        <v>26</v>
      </c>
      <c r="Q14" s="202" t="s">
        <v>26</v>
      </c>
      <c r="R14" s="8"/>
      <c r="S14" s="8"/>
      <c r="T14" s="8"/>
    </row>
    <row r="15" spans="1:20">
      <c r="A15" s="11"/>
      <c r="B15" s="203" t="s">
        <v>63</v>
      </c>
      <c r="C15" s="32">
        <v>0.53700000000000003</v>
      </c>
      <c r="D15" s="32">
        <v>703.45100000000002</v>
      </c>
      <c r="E15" s="32">
        <v>1.956</v>
      </c>
      <c r="F15" s="32">
        <v>1.4999999999999999E-2</v>
      </c>
      <c r="G15" s="32">
        <v>4.9489999999999998</v>
      </c>
      <c r="H15" s="32">
        <v>0.125</v>
      </c>
      <c r="I15" s="32" t="s">
        <v>26</v>
      </c>
      <c r="J15" s="32" t="s">
        <v>26</v>
      </c>
      <c r="K15" s="32" t="s">
        <v>26</v>
      </c>
      <c r="L15" s="32" t="s">
        <v>26</v>
      </c>
      <c r="M15" s="32" t="s">
        <v>26</v>
      </c>
      <c r="N15" s="32">
        <v>0.05</v>
      </c>
      <c r="O15" s="32">
        <v>31.434999999999999</v>
      </c>
      <c r="P15" s="32" t="s">
        <v>26</v>
      </c>
      <c r="Q15" s="204" t="s">
        <v>26</v>
      </c>
      <c r="R15" s="8"/>
      <c r="S15" s="8"/>
      <c r="T15" s="8"/>
    </row>
    <row r="16" spans="1:20">
      <c r="A16" s="11"/>
      <c r="B16" s="203" t="s">
        <v>64</v>
      </c>
      <c r="C16" s="32">
        <v>0.45200000000000001</v>
      </c>
      <c r="D16" s="32">
        <v>85.57</v>
      </c>
      <c r="E16" s="32">
        <v>2.129</v>
      </c>
      <c r="F16" s="32" t="s">
        <v>26</v>
      </c>
      <c r="G16" s="32">
        <v>3.7789999999999999</v>
      </c>
      <c r="H16" s="32">
        <v>8.3000000000000004E-2</v>
      </c>
      <c r="I16" s="32">
        <v>3.5999999999999997E-2</v>
      </c>
      <c r="J16" s="32" t="s">
        <v>26</v>
      </c>
      <c r="K16" s="32" t="s">
        <v>26</v>
      </c>
      <c r="L16" s="32" t="s">
        <v>26</v>
      </c>
      <c r="M16" s="32" t="s">
        <v>26</v>
      </c>
      <c r="N16" s="32">
        <v>3.4000000000000002E-2</v>
      </c>
      <c r="O16" s="32">
        <v>930.95500000000004</v>
      </c>
      <c r="P16" s="32" t="s">
        <v>26</v>
      </c>
      <c r="Q16" s="204" t="s">
        <v>26</v>
      </c>
      <c r="S16" s="8"/>
      <c r="T16" s="8"/>
    </row>
    <row r="17" spans="1:21">
      <c r="A17" s="11"/>
      <c r="B17" s="203" t="s">
        <v>65</v>
      </c>
      <c r="C17" s="48">
        <v>0.53100000000000003</v>
      </c>
      <c r="D17" s="48">
        <v>262.92099999999999</v>
      </c>
      <c r="E17" s="48">
        <v>2.556</v>
      </c>
      <c r="F17" s="48">
        <v>5.0000000000000001E-3</v>
      </c>
      <c r="G17" s="48">
        <v>7.0380000000000003</v>
      </c>
      <c r="H17" s="48">
        <v>0.121</v>
      </c>
      <c r="I17" s="48">
        <v>2.1999999999999999E-2</v>
      </c>
      <c r="J17" s="48" t="s">
        <v>26</v>
      </c>
      <c r="K17" s="48" t="s">
        <v>26</v>
      </c>
      <c r="L17" s="48" t="s">
        <v>26</v>
      </c>
      <c r="M17" s="48" t="s">
        <v>26</v>
      </c>
      <c r="N17" s="48">
        <v>5.8999999999999997E-2</v>
      </c>
      <c r="O17" s="48">
        <v>123.434</v>
      </c>
      <c r="P17" s="48" t="s">
        <v>26</v>
      </c>
      <c r="Q17" s="205" t="s">
        <v>26</v>
      </c>
      <c r="R17" s="8"/>
      <c r="S17" s="9"/>
      <c r="T17" s="9"/>
      <c r="U17" s="1"/>
    </row>
    <row r="18" spans="1:21">
      <c r="A18" s="11"/>
      <c r="B18" s="203" t="s">
        <v>66</v>
      </c>
      <c r="C18" s="32">
        <v>0.89800000000000002</v>
      </c>
      <c r="D18" s="32">
        <v>51.771000000000001</v>
      </c>
      <c r="E18" s="32">
        <v>1.8420000000000001</v>
      </c>
      <c r="F18" s="32">
        <v>1.7999999999999999E-2</v>
      </c>
      <c r="G18" s="32">
        <v>1.5489999999999999</v>
      </c>
      <c r="H18" s="32">
        <v>0.108</v>
      </c>
      <c r="I18" s="32">
        <v>2.1000000000000001E-2</v>
      </c>
      <c r="J18" s="32" t="s">
        <v>26</v>
      </c>
      <c r="K18" s="32" t="s">
        <v>26</v>
      </c>
      <c r="L18" s="32" t="s">
        <v>26</v>
      </c>
      <c r="M18" s="32" t="s">
        <v>26</v>
      </c>
      <c r="N18" s="32">
        <v>7.0000000000000001E-3</v>
      </c>
      <c r="O18" s="32">
        <v>579.99900000000002</v>
      </c>
      <c r="P18" s="32" t="s">
        <v>26</v>
      </c>
      <c r="Q18" s="204" t="s">
        <v>26</v>
      </c>
    </row>
    <row r="19" spans="1:21">
      <c r="A19" s="11"/>
      <c r="B19" s="207" t="s">
        <v>67</v>
      </c>
      <c r="C19" s="32">
        <v>0.29399999999999998</v>
      </c>
      <c r="D19" s="32">
        <v>89.492000000000004</v>
      </c>
      <c r="E19" s="32">
        <v>2.044</v>
      </c>
      <c r="F19" s="32">
        <v>8.9999999999999993E-3</v>
      </c>
      <c r="G19" s="32">
        <v>1.5289999999999999</v>
      </c>
      <c r="H19" s="32">
        <v>0.14099999999999999</v>
      </c>
      <c r="I19" s="32" t="s">
        <v>26</v>
      </c>
      <c r="J19" s="32" t="s">
        <v>26</v>
      </c>
      <c r="K19" s="32" t="s">
        <v>26</v>
      </c>
      <c r="L19" s="32" t="s">
        <v>26</v>
      </c>
      <c r="M19" s="32" t="s">
        <v>26</v>
      </c>
      <c r="N19" s="32">
        <v>4.2000000000000003E-2</v>
      </c>
      <c r="O19" s="32">
        <v>14.569000000000001</v>
      </c>
      <c r="P19" s="32" t="s">
        <v>26</v>
      </c>
      <c r="Q19" s="204" t="s">
        <v>26</v>
      </c>
    </row>
    <row r="20" spans="1:21">
      <c r="A20" s="11"/>
      <c r="B20" s="206" t="s">
        <v>40</v>
      </c>
      <c r="C20" s="47">
        <v>0.65500000000000003</v>
      </c>
      <c r="D20" s="47">
        <v>61.792000000000002</v>
      </c>
      <c r="E20" s="47">
        <v>1.77</v>
      </c>
      <c r="F20" s="47">
        <v>1.2999999999999999E-2</v>
      </c>
      <c r="G20" s="47">
        <v>0.32200000000000001</v>
      </c>
      <c r="H20" s="47">
        <v>2.5000000000000001E-2</v>
      </c>
      <c r="I20" s="47">
        <v>0.48599999999999999</v>
      </c>
      <c r="J20" s="47" t="s">
        <v>26</v>
      </c>
      <c r="K20" s="47">
        <v>4.3999999999999997E-2</v>
      </c>
      <c r="L20" s="47" t="s">
        <v>26</v>
      </c>
      <c r="M20" s="47" t="s">
        <v>26</v>
      </c>
      <c r="N20" s="47" t="s">
        <v>26</v>
      </c>
      <c r="O20" s="47">
        <v>2.891</v>
      </c>
      <c r="P20" s="47" t="s">
        <v>26</v>
      </c>
      <c r="Q20" s="202" t="s">
        <v>26</v>
      </c>
      <c r="S20" s="8"/>
      <c r="T20" s="8"/>
    </row>
    <row r="21" spans="1:21">
      <c r="A21" s="11"/>
      <c r="B21" s="203" t="s">
        <v>41</v>
      </c>
      <c r="C21" s="32">
        <v>0.38300000000000001</v>
      </c>
      <c r="D21" s="32">
        <v>401.09899999999999</v>
      </c>
      <c r="E21" s="31">
        <v>3.86</v>
      </c>
      <c r="F21" s="31">
        <v>1.6E-2</v>
      </c>
      <c r="G21" s="31">
        <v>2.766</v>
      </c>
      <c r="H21" s="31">
        <v>0.746</v>
      </c>
      <c r="I21" s="32">
        <v>4.8000000000000001E-2</v>
      </c>
      <c r="J21" s="32" t="s">
        <v>26</v>
      </c>
      <c r="K21" s="32" t="s">
        <v>26</v>
      </c>
      <c r="L21" s="32" t="s">
        <v>26</v>
      </c>
      <c r="M21" s="32" t="s">
        <v>26</v>
      </c>
      <c r="N21" s="32">
        <v>3.5000000000000003E-2</v>
      </c>
      <c r="O21" s="31">
        <v>10.455</v>
      </c>
      <c r="P21" s="32" t="s">
        <v>26</v>
      </c>
      <c r="Q21" s="204" t="s">
        <v>26</v>
      </c>
      <c r="R21" s="11"/>
      <c r="S21" s="8"/>
      <c r="T21" s="8"/>
    </row>
    <row r="22" spans="1:21">
      <c r="A22" s="11"/>
      <c r="B22" s="208" t="s">
        <v>61</v>
      </c>
      <c r="C22" s="32">
        <f>0.516*2</f>
        <v>1.032</v>
      </c>
      <c r="D22" s="32">
        <f>47.2*2</f>
        <v>94.4</v>
      </c>
      <c r="E22" s="31">
        <f>3.431*2</f>
        <v>6.8620000000000001</v>
      </c>
      <c r="F22" s="31">
        <f>0.006*2</f>
        <v>1.2E-2</v>
      </c>
      <c r="G22" s="31">
        <f>1.812*2</f>
        <v>3.6240000000000001</v>
      </c>
      <c r="H22" s="31">
        <f>0.545*2</f>
        <v>1.0900000000000001</v>
      </c>
      <c r="I22" s="32">
        <f>0.114*2</f>
        <v>0.22800000000000001</v>
      </c>
      <c r="J22" s="32" t="s">
        <v>26</v>
      </c>
      <c r="K22" s="32" t="s">
        <v>26</v>
      </c>
      <c r="L22" s="32" t="s">
        <v>26</v>
      </c>
      <c r="M22" s="32" t="s">
        <v>26</v>
      </c>
      <c r="N22" s="32" t="s">
        <v>26</v>
      </c>
      <c r="O22" s="31">
        <f>1424.888*2</f>
        <v>2849.7759999999998</v>
      </c>
      <c r="P22" s="32" t="s">
        <v>26</v>
      </c>
      <c r="Q22" s="204" t="s">
        <v>26</v>
      </c>
      <c r="R22" s="11"/>
      <c r="S22" s="8"/>
      <c r="T22" s="8"/>
    </row>
    <row r="23" spans="1:21">
      <c r="A23" s="11"/>
      <c r="B23" s="203" t="s">
        <v>43</v>
      </c>
      <c r="C23" s="32">
        <v>0.23</v>
      </c>
      <c r="D23" s="32">
        <v>78.141999999999996</v>
      </c>
      <c r="E23" s="32">
        <v>4.1070000000000002</v>
      </c>
      <c r="F23" s="32" t="s">
        <v>26</v>
      </c>
      <c r="G23" s="32">
        <v>5.3710000000000004</v>
      </c>
      <c r="H23" s="32">
        <v>0.77700000000000002</v>
      </c>
      <c r="I23" s="32">
        <v>4.3999999999999997E-2</v>
      </c>
      <c r="J23" s="32" t="s">
        <v>26</v>
      </c>
      <c r="K23" s="32" t="s">
        <v>26</v>
      </c>
      <c r="L23" s="32" t="s">
        <v>26</v>
      </c>
      <c r="M23" s="32" t="s">
        <v>26</v>
      </c>
      <c r="N23" s="32">
        <v>3.4000000000000002E-2</v>
      </c>
      <c r="O23" s="32">
        <v>237.245</v>
      </c>
      <c r="P23" s="32" t="s">
        <v>26</v>
      </c>
      <c r="Q23" s="204" t="s">
        <v>26</v>
      </c>
      <c r="R23" s="11"/>
      <c r="S23" s="8"/>
      <c r="T23" s="8"/>
    </row>
    <row r="24" spans="1:21">
      <c r="A24" s="11"/>
      <c r="B24" s="203" t="s">
        <v>44</v>
      </c>
      <c r="C24" s="32">
        <v>1.579</v>
      </c>
      <c r="D24" s="32">
        <v>51.716000000000001</v>
      </c>
      <c r="E24" s="32">
        <v>3.1659999999999999</v>
      </c>
      <c r="F24" s="32">
        <v>7.0000000000000007E-2</v>
      </c>
      <c r="G24" s="32">
        <v>2.6179999999999999</v>
      </c>
      <c r="H24" s="32">
        <v>0.62</v>
      </c>
      <c r="I24" s="32">
        <v>0.11899999999999999</v>
      </c>
      <c r="J24" s="32" t="s">
        <v>26</v>
      </c>
      <c r="K24" s="32">
        <v>7.5999999999999998E-2</v>
      </c>
      <c r="L24" s="32" t="s">
        <v>26</v>
      </c>
      <c r="M24" s="32" t="s">
        <v>26</v>
      </c>
      <c r="N24" s="32" t="s">
        <v>26</v>
      </c>
      <c r="O24" s="32">
        <v>729.79399999999998</v>
      </c>
      <c r="P24" s="32" t="s">
        <v>26</v>
      </c>
      <c r="Q24" s="204" t="s">
        <v>26</v>
      </c>
      <c r="R24" s="8"/>
      <c r="S24" s="8"/>
      <c r="T24" s="8"/>
    </row>
    <row r="25" spans="1:21">
      <c r="A25" s="11"/>
      <c r="B25" s="207" t="s">
        <v>45</v>
      </c>
      <c r="C25" s="48">
        <v>0.224</v>
      </c>
      <c r="D25" s="48">
        <v>51.17</v>
      </c>
      <c r="E25" s="48">
        <v>3.528</v>
      </c>
      <c r="F25" s="48">
        <v>2.1000000000000001E-2</v>
      </c>
      <c r="G25" s="48">
        <v>5.282</v>
      </c>
      <c r="H25" s="48">
        <v>0.72699999999999998</v>
      </c>
      <c r="I25" s="48" t="s">
        <v>26</v>
      </c>
      <c r="J25" s="48" t="s">
        <v>26</v>
      </c>
      <c r="K25" s="48" t="s">
        <v>26</v>
      </c>
      <c r="L25" s="48" t="s">
        <v>26</v>
      </c>
      <c r="M25" s="48" t="s">
        <v>26</v>
      </c>
      <c r="N25" s="48">
        <v>3.2000000000000001E-2</v>
      </c>
      <c r="O25" s="48">
        <v>131.97</v>
      </c>
      <c r="P25" s="48" t="s">
        <v>26</v>
      </c>
      <c r="Q25" s="205" t="s">
        <v>26</v>
      </c>
      <c r="R25" s="8"/>
      <c r="S25" s="8"/>
      <c r="T25" s="8"/>
    </row>
    <row r="26" spans="1:21">
      <c r="A26" s="11"/>
      <c r="B26" s="206" t="s">
        <v>75</v>
      </c>
      <c r="C26" s="63">
        <v>0.434</v>
      </c>
      <c r="D26" s="47">
        <v>107.675</v>
      </c>
      <c r="E26" s="47">
        <v>1.69</v>
      </c>
      <c r="F26" s="47">
        <v>1.2E-2</v>
      </c>
      <c r="G26" s="47">
        <v>0.127</v>
      </c>
      <c r="H26" s="47">
        <v>8.9999999999999993E-3</v>
      </c>
      <c r="I26" s="47">
        <v>0.45900000000000002</v>
      </c>
      <c r="J26" s="47" t="s">
        <v>26</v>
      </c>
      <c r="K26" s="47">
        <v>5.0999999999999997E-2</v>
      </c>
      <c r="L26" s="47" t="s">
        <v>26</v>
      </c>
      <c r="M26" s="47" t="s">
        <v>26</v>
      </c>
      <c r="N26" s="47">
        <v>0</v>
      </c>
      <c r="O26" s="47">
        <v>2.0840000000000001</v>
      </c>
      <c r="P26" s="47" t="s">
        <v>26</v>
      </c>
      <c r="Q26" s="202" t="s">
        <v>26</v>
      </c>
      <c r="R26" s="9"/>
      <c r="S26" s="8"/>
      <c r="T26" s="8"/>
    </row>
    <row r="27" spans="1:21">
      <c r="A27" s="11"/>
      <c r="B27" s="203" t="s">
        <v>76</v>
      </c>
      <c r="C27" s="64">
        <v>0.53500000000000003</v>
      </c>
      <c r="D27" s="32">
        <v>700.23</v>
      </c>
      <c r="E27" s="32">
        <v>3.6989999999999998</v>
      </c>
      <c r="F27" s="32">
        <v>1.7999999999999999E-2</v>
      </c>
      <c r="G27" s="32">
        <v>6.8179999999999996</v>
      </c>
      <c r="H27" s="32">
        <v>0.495</v>
      </c>
      <c r="I27" s="32">
        <v>5.2999999999999999E-2</v>
      </c>
      <c r="J27" s="32" t="s">
        <v>26</v>
      </c>
      <c r="K27" s="32">
        <v>8.0000000000000002E-3</v>
      </c>
      <c r="L27" s="32" t="s">
        <v>26</v>
      </c>
      <c r="M27" s="32" t="s">
        <v>26</v>
      </c>
      <c r="N27" s="32">
        <v>4.2999999999999997E-2</v>
      </c>
      <c r="O27" s="32">
        <v>35.384999999999998</v>
      </c>
      <c r="P27" s="32" t="s">
        <v>26</v>
      </c>
      <c r="Q27" s="204" t="s">
        <v>26</v>
      </c>
      <c r="R27" s="8"/>
      <c r="S27" s="8"/>
      <c r="T27" s="8"/>
    </row>
    <row r="28" spans="1:21">
      <c r="A28" s="11"/>
      <c r="B28" s="203" t="s">
        <v>77</v>
      </c>
      <c r="C28" s="64">
        <v>0.59099999999999997</v>
      </c>
      <c r="D28" s="32">
        <v>100.182</v>
      </c>
      <c r="E28" s="32">
        <v>4.0490000000000004</v>
      </c>
      <c r="F28" s="32">
        <v>8.0000000000000002E-3</v>
      </c>
      <c r="G28" s="32">
        <v>2.8530000000000002</v>
      </c>
      <c r="H28" s="32">
        <v>0.40699999999999997</v>
      </c>
      <c r="I28" s="32">
        <v>0.17699999999999999</v>
      </c>
      <c r="J28" s="32" t="s">
        <v>26</v>
      </c>
      <c r="K28" s="32">
        <v>4.9000000000000002E-2</v>
      </c>
      <c r="L28" s="32" t="s">
        <v>26</v>
      </c>
      <c r="M28" s="32" t="s">
        <v>26</v>
      </c>
      <c r="N28" s="32">
        <v>3.3000000000000002E-2</v>
      </c>
      <c r="O28" s="32">
        <v>678.14700000000005</v>
      </c>
      <c r="P28" s="32" t="s">
        <v>26</v>
      </c>
      <c r="Q28" s="204" t="s">
        <v>26</v>
      </c>
      <c r="R28" s="8"/>
      <c r="S28" s="8"/>
      <c r="T28" s="8"/>
    </row>
    <row r="29" spans="1:21">
      <c r="A29" s="11"/>
      <c r="B29" s="203" t="s">
        <v>78</v>
      </c>
      <c r="C29" s="64">
        <v>0.52900000000000003</v>
      </c>
      <c r="D29" s="32">
        <v>240.62200000000001</v>
      </c>
      <c r="E29" s="32">
        <v>4.0359999999999996</v>
      </c>
      <c r="F29" s="32">
        <v>6.0000000000000001E-3</v>
      </c>
      <c r="G29" s="32">
        <v>5.7130000000000001</v>
      </c>
      <c r="H29" s="32">
        <v>0.47199999999999998</v>
      </c>
      <c r="I29" s="32">
        <v>7.2999999999999995E-2</v>
      </c>
      <c r="J29" s="32" t="s">
        <v>26</v>
      </c>
      <c r="K29" s="32" t="s">
        <v>26</v>
      </c>
      <c r="L29" s="32" t="s">
        <v>26</v>
      </c>
      <c r="M29" s="32" t="s">
        <v>26</v>
      </c>
      <c r="N29" s="32">
        <v>6.3E-2</v>
      </c>
      <c r="O29" s="32">
        <v>102.041</v>
      </c>
      <c r="P29" s="32" t="s">
        <v>26</v>
      </c>
      <c r="Q29" s="204" t="s">
        <v>26</v>
      </c>
      <c r="R29" s="8"/>
      <c r="S29" s="8"/>
      <c r="T29" s="8"/>
    </row>
    <row r="30" spans="1:21">
      <c r="A30" s="11"/>
      <c r="B30" s="203" t="s">
        <v>79</v>
      </c>
      <c r="C30" s="64">
        <v>1.079</v>
      </c>
      <c r="D30" s="32">
        <v>62.152999999999999</v>
      </c>
      <c r="E30" s="32">
        <v>3.258</v>
      </c>
      <c r="F30" s="32">
        <v>3.5999999999999997E-2</v>
      </c>
      <c r="G30" s="32">
        <v>1.419</v>
      </c>
      <c r="H30" s="32">
        <v>0.432</v>
      </c>
      <c r="I30" s="32">
        <v>9.0999999999999998E-2</v>
      </c>
      <c r="J30" s="32" t="s">
        <v>26</v>
      </c>
      <c r="K30" s="32">
        <v>7.5999999999999998E-2</v>
      </c>
      <c r="L30" s="32" t="s">
        <v>26</v>
      </c>
      <c r="M30" s="32" t="s">
        <v>26</v>
      </c>
      <c r="N30" s="32">
        <v>2.5000000000000001E-2</v>
      </c>
      <c r="O30" s="32">
        <v>447.10700000000003</v>
      </c>
      <c r="P30" s="32" t="s">
        <v>26</v>
      </c>
      <c r="Q30" s="204" t="s">
        <v>26</v>
      </c>
      <c r="R30" s="8"/>
      <c r="S30" s="8"/>
      <c r="T30" s="8"/>
    </row>
    <row r="31" spans="1:21">
      <c r="A31" s="11"/>
      <c r="B31" s="207" t="s">
        <v>80</v>
      </c>
      <c r="C31" s="65">
        <v>0.32200000000000001</v>
      </c>
      <c r="D31" s="48">
        <v>64.271000000000001</v>
      </c>
      <c r="E31" s="48">
        <v>3.464</v>
      </c>
      <c r="F31" s="48">
        <v>1.4E-2</v>
      </c>
      <c r="G31" s="48">
        <v>4.6369999999999996</v>
      </c>
      <c r="H31" s="48">
        <v>0.56699999999999995</v>
      </c>
      <c r="I31" s="48">
        <v>1.2E-2</v>
      </c>
      <c r="J31" s="48" t="s">
        <v>26</v>
      </c>
      <c r="K31" s="48">
        <v>7.0000000000000001E-3</v>
      </c>
      <c r="L31" s="48" t="s">
        <v>26</v>
      </c>
      <c r="M31" s="48" t="s">
        <v>26</v>
      </c>
      <c r="N31" s="48">
        <v>4.1000000000000002E-2</v>
      </c>
      <c r="O31" s="48">
        <v>36.475000000000001</v>
      </c>
      <c r="P31" s="48" t="s">
        <v>26</v>
      </c>
      <c r="Q31" s="205" t="s">
        <v>26</v>
      </c>
      <c r="R31" s="8"/>
      <c r="S31" s="8"/>
      <c r="T31" s="8"/>
    </row>
    <row r="32" spans="1:21">
      <c r="A32" s="11"/>
      <c r="B32" s="206" t="s">
        <v>58</v>
      </c>
      <c r="C32" s="47">
        <v>0.13100000000000001</v>
      </c>
      <c r="D32" s="47">
        <v>0.99</v>
      </c>
      <c r="E32" s="47">
        <v>3.3889999999999998</v>
      </c>
      <c r="F32" s="47" t="s">
        <v>26</v>
      </c>
      <c r="G32" s="47">
        <v>7.4999999999999997E-2</v>
      </c>
      <c r="H32" s="47">
        <v>0.60499999999999998</v>
      </c>
      <c r="I32" s="47" t="s">
        <v>26</v>
      </c>
      <c r="J32" s="47" t="s">
        <v>26</v>
      </c>
      <c r="K32" s="47" t="s">
        <v>26</v>
      </c>
      <c r="L32" s="47" t="s">
        <v>26</v>
      </c>
      <c r="M32" s="47" t="s">
        <v>26</v>
      </c>
      <c r="N32" s="47" t="s">
        <v>26</v>
      </c>
      <c r="O32" s="47" t="s">
        <v>26</v>
      </c>
      <c r="P32" s="47" t="s">
        <v>26</v>
      </c>
      <c r="Q32" s="202" t="s">
        <v>26</v>
      </c>
      <c r="R32" s="8"/>
      <c r="S32" s="8"/>
      <c r="T32" s="8"/>
    </row>
    <row r="33" spans="1:20">
      <c r="A33" s="11"/>
      <c r="B33" s="203" t="s">
        <v>59</v>
      </c>
      <c r="C33" s="32">
        <v>0.13700000000000001</v>
      </c>
      <c r="D33" s="32">
        <v>1.0649999999999999</v>
      </c>
      <c r="E33" s="32">
        <v>4.3719999999999999</v>
      </c>
      <c r="F33" s="32" t="s">
        <v>26</v>
      </c>
      <c r="G33" s="32">
        <v>3.2000000000000001E-2</v>
      </c>
      <c r="H33" s="32">
        <v>0.73599999999999999</v>
      </c>
      <c r="I33" s="32" t="s">
        <v>26</v>
      </c>
      <c r="J33" s="32" t="s">
        <v>26</v>
      </c>
      <c r="K33" s="32" t="s">
        <v>26</v>
      </c>
      <c r="L33" s="32" t="s">
        <v>26</v>
      </c>
      <c r="M33" s="32" t="s">
        <v>26</v>
      </c>
      <c r="N33" s="32" t="s">
        <v>26</v>
      </c>
      <c r="O33" s="32" t="s">
        <v>26</v>
      </c>
      <c r="P33" s="32" t="s">
        <v>26</v>
      </c>
      <c r="Q33" s="204" t="s">
        <v>26</v>
      </c>
      <c r="R33" s="8"/>
      <c r="S33" s="8"/>
      <c r="T33" s="8"/>
    </row>
    <row r="34" spans="1:20">
      <c r="A34" s="11"/>
      <c r="B34" s="203" t="s">
        <v>60</v>
      </c>
      <c r="C34" s="32">
        <v>0.188</v>
      </c>
      <c r="D34" s="32">
        <v>1.1559999999999999</v>
      </c>
      <c r="E34" s="32">
        <v>3.9980000000000002</v>
      </c>
      <c r="F34" s="32" t="s">
        <v>26</v>
      </c>
      <c r="G34" s="32">
        <v>0.04</v>
      </c>
      <c r="H34" s="32">
        <v>0.64900000000000002</v>
      </c>
      <c r="I34" s="32" t="s">
        <v>26</v>
      </c>
      <c r="J34" s="32" t="s">
        <v>26</v>
      </c>
      <c r="K34" s="32" t="s">
        <v>26</v>
      </c>
      <c r="L34" s="32" t="s">
        <v>26</v>
      </c>
      <c r="M34" s="32" t="s">
        <v>26</v>
      </c>
      <c r="N34" s="32" t="s">
        <v>26</v>
      </c>
      <c r="O34" s="32" t="s">
        <v>26</v>
      </c>
      <c r="P34" s="32" t="s">
        <v>26</v>
      </c>
      <c r="Q34" s="204" t="s">
        <v>26</v>
      </c>
      <c r="R34" s="8"/>
      <c r="S34" s="8"/>
      <c r="T34" s="8"/>
    </row>
    <row r="35" spans="1:20">
      <c r="A35" s="11"/>
      <c r="B35" s="203" t="s">
        <v>50</v>
      </c>
      <c r="C35" s="32">
        <v>0.55800000000000005</v>
      </c>
      <c r="D35" s="32">
        <v>54.591000000000001</v>
      </c>
      <c r="E35" s="32">
        <v>1.9770000000000001</v>
      </c>
      <c r="F35" s="32">
        <v>1.2999999999999999E-2</v>
      </c>
      <c r="G35" s="32">
        <v>0.33100000000000002</v>
      </c>
      <c r="H35" s="32" t="s">
        <v>26</v>
      </c>
      <c r="I35" s="32">
        <v>0.42199999999999999</v>
      </c>
      <c r="J35" s="32" t="s">
        <v>26</v>
      </c>
      <c r="K35" s="32" t="s">
        <v>26</v>
      </c>
      <c r="L35" s="32" t="s">
        <v>26</v>
      </c>
      <c r="M35" s="32" t="s">
        <v>26</v>
      </c>
      <c r="N35" s="32">
        <v>6.0000000000000001E-3</v>
      </c>
      <c r="O35" s="32">
        <v>3.4580000000000002</v>
      </c>
      <c r="P35" s="32" t="s">
        <v>26</v>
      </c>
      <c r="Q35" s="204" t="s">
        <v>26</v>
      </c>
      <c r="R35" s="8"/>
      <c r="S35" s="8"/>
      <c r="T35" s="8"/>
    </row>
    <row r="36" spans="1:20">
      <c r="A36" s="11"/>
      <c r="B36" s="203" t="s">
        <v>51</v>
      </c>
      <c r="C36" s="32">
        <v>0.28599999999999998</v>
      </c>
      <c r="D36" s="32">
        <v>285.97199999999998</v>
      </c>
      <c r="E36" s="32">
        <v>3.9729999999999999</v>
      </c>
      <c r="F36" s="32">
        <v>1.0999999999999999E-2</v>
      </c>
      <c r="G36" s="32">
        <v>1.79</v>
      </c>
      <c r="H36" s="32">
        <v>0.61599999999999999</v>
      </c>
      <c r="I36" s="32">
        <v>2.7E-2</v>
      </c>
      <c r="J36" s="32" t="s">
        <v>26</v>
      </c>
      <c r="K36" s="32" t="s">
        <v>26</v>
      </c>
      <c r="L36" s="32" t="s">
        <v>26</v>
      </c>
      <c r="M36" s="32" t="s">
        <v>26</v>
      </c>
      <c r="N36" s="32">
        <v>4.2000000000000003E-2</v>
      </c>
      <c r="O36" s="32">
        <v>8.4179999999999993</v>
      </c>
      <c r="P36" s="32" t="s">
        <v>26</v>
      </c>
      <c r="Q36" s="204" t="s">
        <v>26</v>
      </c>
      <c r="R36" s="8"/>
      <c r="S36" s="8"/>
      <c r="T36" s="8"/>
    </row>
    <row r="37" spans="1:20">
      <c r="A37" s="11"/>
      <c r="B37" s="203" t="s">
        <v>48</v>
      </c>
      <c r="C37" s="32">
        <v>0.55700000000000005</v>
      </c>
      <c r="D37" s="32">
        <v>18.338999999999999</v>
      </c>
      <c r="E37" s="32">
        <v>4.1639999999999997</v>
      </c>
      <c r="F37" s="32">
        <v>2.8000000000000001E-2</v>
      </c>
      <c r="G37" s="32">
        <v>4.25</v>
      </c>
      <c r="H37" s="32">
        <v>0.64700000000000002</v>
      </c>
      <c r="I37" s="32">
        <v>2.8000000000000001E-2</v>
      </c>
      <c r="J37" s="32" t="s">
        <v>26</v>
      </c>
      <c r="K37" s="32" t="s">
        <v>26</v>
      </c>
      <c r="L37" s="32" t="s">
        <v>26</v>
      </c>
      <c r="M37" s="32" t="s">
        <v>26</v>
      </c>
      <c r="N37" s="32">
        <v>5.0000000000000001E-3</v>
      </c>
      <c r="O37" s="32">
        <v>702.64099999999996</v>
      </c>
      <c r="P37" s="32" t="s">
        <v>26</v>
      </c>
      <c r="Q37" s="204" t="s">
        <v>26</v>
      </c>
      <c r="R37" s="8"/>
      <c r="S37" s="8"/>
      <c r="T37" s="8"/>
    </row>
    <row r="38" spans="1:20">
      <c r="A38" s="11"/>
      <c r="B38" s="203" t="s">
        <v>49</v>
      </c>
      <c r="C38" s="32">
        <v>0.191</v>
      </c>
      <c r="D38" s="32">
        <v>62.268000000000001</v>
      </c>
      <c r="E38" s="32">
        <v>4.6849999999999996</v>
      </c>
      <c r="F38" s="32">
        <v>0.01</v>
      </c>
      <c r="G38" s="32">
        <v>4.9960000000000004</v>
      </c>
      <c r="H38" s="32">
        <v>0.71699999999999997</v>
      </c>
      <c r="I38" s="32">
        <v>2.8000000000000001E-2</v>
      </c>
      <c r="J38" s="32" t="s">
        <v>26</v>
      </c>
      <c r="K38" s="32" t="s">
        <v>26</v>
      </c>
      <c r="L38" s="32" t="s">
        <v>26</v>
      </c>
      <c r="M38" s="32" t="s">
        <v>26</v>
      </c>
      <c r="N38" s="32">
        <v>3.4000000000000002E-2</v>
      </c>
      <c r="O38" s="32">
        <v>272.995</v>
      </c>
      <c r="P38" s="32" t="s">
        <v>26</v>
      </c>
      <c r="Q38" s="204" t="s">
        <v>26</v>
      </c>
      <c r="S38" s="8"/>
      <c r="T38" s="8"/>
    </row>
    <row r="39" spans="1:20">
      <c r="A39" s="11"/>
      <c r="B39" s="203" t="s">
        <v>46</v>
      </c>
      <c r="C39" s="32">
        <v>1.34</v>
      </c>
      <c r="D39" s="32">
        <v>46.11</v>
      </c>
      <c r="E39" s="32">
        <v>3.8010000000000002</v>
      </c>
      <c r="F39" s="32">
        <v>3.9E-2</v>
      </c>
      <c r="G39" s="32">
        <v>3.4609999999999999</v>
      </c>
      <c r="H39" s="32">
        <v>0.55600000000000005</v>
      </c>
      <c r="I39" s="32">
        <v>7.4999999999999997E-2</v>
      </c>
      <c r="J39" s="32" t="s">
        <v>26</v>
      </c>
      <c r="K39" s="32" t="s">
        <v>26</v>
      </c>
      <c r="L39" s="32" t="s">
        <v>26</v>
      </c>
      <c r="M39" s="32" t="s">
        <v>26</v>
      </c>
      <c r="N39" s="32">
        <v>1.2E-2</v>
      </c>
      <c r="O39" s="31">
        <v>825.58100000000002</v>
      </c>
      <c r="P39" s="32" t="s">
        <v>26</v>
      </c>
      <c r="Q39" s="204" t="s">
        <v>26</v>
      </c>
      <c r="S39" s="8"/>
      <c r="T39" s="8"/>
    </row>
    <row r="40" spans="1:20">
      <c r="A40" s="11"/>
      <c r="B40" s="207" t="s">
        <v>47</v>
      </c>
      <c r="C40" s="48">
        <v>0.20499999999999999</v>
      </c>
      <c r="D40" s="48">
        <v>54.753</v>
      </c>
      <c r="E40" s="48">
        <v>4.2</v>
      </c>
      <c r="F40" s="48">
        <v>1.7999999999999999E-2</v>
      </c>
      <c r="G40" s="48">
        <v>3.984</v>
      </c>
      <c r="H40" s="48">
        <v>0.64300000000000002</v>
      </c>
      <c r="I40" s="48" t="s">
        <v>26</v>
      </c>
      <c r="J40" s="48" t="s">
        <v>26</v>
      </c>
      <c r="K40" s="48" t="s">
        <v>26</v>
      </c>
      <c r="L40" s="48" t="s">
        <v>26</v>
      </c>
      <c r="M40" s="48" t="s">
        <v>26</v>
      </c>
      <c r="N40" s="48">
        <v>2.1999999999999999E-2</v>
      </c>
      <c r="O40" s="48">
        <v>126.01900000000001</v>
      </c>
      <c r="P40" s="48" t="s">
        <v>26</v>
      </c>
      <c r="Q40" s="205" t="s">
        <v>26</v>
      </c>
      <c r="R40" s="1"/>
      <c r="S40" s="8"/>
      <c r="T40" s="8"/>
    </row>
    <row r="41" spans="1:20">
      <c r="B41" s="206" t="s">
        <v>88</v>
      </c>
      <c r="C41" s="47">
        <v>0.42799999999999999</v>
      </c>
      <c r="D41" s="47">
        <v>86.733000000000004</v>
      </c>
      <c r="E41" s="47">
        <v>1.887</v>
      </c>
      <c r="F41" s="47">
        <v>1.2E-2</v>
      </c>
      <c r="G41" s="47">
        <v>0.155</v>
      </c>
      <c r="H41" s="47">
        <v>1.4999999999999999E-2</v>
      </c>
      <c r="I41" s="47">
        <v>0.41099999999999998</v>
      </c>
      <c r="J41" s="47" t="s">
        <v>26</v>
      </c>
      <c r="K41" s="47">
        <v>3.7999999999999999E-2</v>
      </c>
      <c r="L41" s="47" t="s">
        <v>26</v>
      </c>
      <c r="M41" s="47" t="s">
        <v>26</v>
      </c>
      <c r="N41" s="47" t="s">
        <v>26</v>
      </c>
      <c r="O41" s="47">
        <v>5.0350000000000001</v>
      </c>
      <c r="P41" s="47" t="s">
        <v>26</v>
      </c>
      <c r="Q41" s="202" t="s">
        <v>26</v>
      </c>
      <c r="S41" s="8"/>
      <c r="T41" s="8"/>
    </row>
    <row r="42" spans="1:20">
      <c r="A42" s="27"/>
      <c r="B42" s="203" t="s">
        <v>89</v>
      </c>
      <c r="C42" s="32">
        <v>0.48299999999999998</v>
      </c>
      <c r="D42" s="32">
        <v>642.13699999999994</v>
      </c>
      <c r="E42" s="32">
        <v>3.7280000000000002</v>
      </c>
      <c r="F42" s="32">
        <v>1.2E-2</v>
      </c>
      <c r="G42" s="32">
        <v>6.2439999999999998</v>
      </c>
      <c r="H42" s="32">
        <v>0.433</v>
      </c>
      <c r="I42" s="32">
        <v>3.5000000000000003E-2</v>
      </c>
      <c r="J42" s="32" t="s">
        <v>26</v>
      </c>
      <c r="K42" s="32">
        <v>8.0000000000000002E-3</v>
      </c>
      <c r="L42" s="32" t="s">
        <v>26</v>
      </c>
      <c r="M42" s="32" t="s">
        <v>26</v>
      </c>
      <c r="N42" s="32">
        <v>4.2000000000000003E-2</v>
      </c>
      <c r="O42" s="32">
        <v>47.64</v>
      </c>
      <c r="P42" s="32" t="s">
        <v>26</v>
      </c>
      <c r="Q42" s="204" t="s">
        <v>26</v>
      </c>
      <c r="S42" s="8"/>
      <c r="T42" s="8"/>
    </row>
    <row r="43" spans="1:20">
      <c r="B43" s="203" t="s">
        <v>90</v>
      </c>
      <c r="C43" s="32">
        <v>0.47399999999999998</v>
      </c>
      <c r="D43" s="32">
        <v>66.641999999999996</v>
      </c>
      <c r="E43" s="32">
        <v>4.5789999999999997</v>
      </c>
      <c r="F43" s="32">
        <v>5.0000000000000001E-3</v>
      </c>
      <c r="G43" s="32">
        <v>2.0329999999999999</v>
      </c>
      <c r="H43" s="32">
        <v>0.46899999999999997</v>
      </c>
      <c r="I43" s="32">
        <v>0.11</v>
      </c>
      <c r="J43" s="32" t="s">
        <v>26</v>
      </c>
      <c r="K43" s="32">
        <v>0.04</v>
      </c>
      <c r="L43" s="32" t="s">
        <v>26</v>
      </c>
      <c r="M43" s="32" t="s">
        <v>26</v>
      </c>
      <c r="N43" s="32">
        <v>4.1000000000000002E-2</v>
      </c>
      <c r="O43" s="32">
        <v>1080.0319999999999</v>
      </c>
      <c r="P43" s="32" t="s">
        <v>26</v>
      </c>
      <c r="Q43" s="204" t="s">
        <v>26</v>
      </c>
      <c r="S43" s="8"/>
      <c r="T43" s="8"/>
    </row>
    <row r="44" spans="1:20">
      <c r="B44" s="203" t="s">
        <v>91</v>
      </c>
      <c r="C44" s="32">
        <v>0.41899999999999998</v>
      </c>
      <c r="D44" s="32">
        <v>147</v>
      </c>
      <c r="E44" s="32">
        <v>4.4349999999999996</v>
      </c>
      <c r="F44" s="32">
        <v>6.0000000000000001E-3</v>
      </c>
      <c r="G44" s="32">
        <v>3.3149999999999999</v>
      </c>
      <c r="H44" s="32">
        <v>0.48899999999999999</v>
      </c>
      <c r="I44" s="32">
        <v>6.8000000000000005E-2</v>
      </c>
      <c r="J44" s="32" t="s">
        <v>26</v>
      </c>
      <c r="K44" s="32">
        <v>1.0999999999999999E-2</v>
      </c>
      <c r="L44" s="32" t="s">
        <v>26</v>
      </c>
      <c r="M44" s="32" t="s">
        <v>26</v>
      </c>
      <c r="N44" s="32">
        <v>5.3999999999999999E-2</v>
      </c>
      <c r="O44" s="32">
        <v>58.569000000000003</v>
      </c>
      <c r="P44" s="32" t="s">
        <v>26</v>
      </c>
      <c r="Q44" s="204" t="s">
        <v>26</v>
      </c>
    </row>
    <row r="45" spans="1:20">
      <c r="B45" s="203" t="s">
        <v>92</v>
      </c>
      <c r="C45" s="32">
        <v>1.044</v>
      </c>
      <c r="D45" s="32">
        <v>57.133000000000003</v>
      </c>
      <c r="E45" s="32">
        <v>3.8319999999999999</v>
      </c>
      <c r="F45" s="32">
        <v>2.1999999999999999E-2</v>
      </c>
      <c r="G45" s="32">
        <v>1.93</v>
      </c>
      <c r="H45" s="32">
        <v>0.4</v>
      </c>
      <c r="I45" s="32">
        <v>0.10299999999999999</v>
      </c>
      <c r="J45" s="32" t="s">
        <v>26</v>
      </c>
      <c r="K45" s="32">
        <v>4.9000000000000002E-2</v>
      </c>
      <c r="L45" s="32" t="s">
        <v>26</v>
      </c>
      <c r="M45" s="32" t="s">
        <v>26</v>
      </c>
      <c r="N45" s="32">
        <v>1.7999999999999999E-2</v>
      </c>
      <c r="O45" s="32">
        <v>586.18100000000004</v>
      </c>
      <c r="P45" s="32" t="s">
        <v>26</v>
      </c>
      <c r="Q45" s="204" t="s">
        <v>26</v>
      </c>
    </row>
    <row r="46" spans="1:20" ht="15" thickBot="1">
      <c r="B46" s="209" t="s">
        <v>93</v>
      </c>
      <c r="C46" s="210">
        <v>0.44400000000000001</v>
      </c>
      <c r="D46" s="210">
        <v>71.478999999999999</v>
      </c>
      <c r="E46" s="210">
        <v>4.5979999999999999</v>
      </c>
      <c r="F46" s="210">
        <v>2.1999999999999999E-2</v>
      </c>
      <c r="G46" s="210">
        <v>9.8390000000000004</v>
      </c>
      <c r="H46" s="210">
        <v>0.59099999999999997</v>
      </c>
      <c r="I46" s="210">
        <v>1.2E-2</v>
      </c>
      <c r="J46" s="210" t="s">
        <v>26</v>
      </c>
      <c r="K46" s="210">
        <v>8.0000000000000002E-3</v>
      </c>
      <c r="L46" s="210" t="s">
        <v>26</v>
      </c>
      <c r="M46" s="210" t="s">
        <v>26</v>
      </c>
      <c r="N46" s="210">
        <v>6.0999999999999999E-2</v>
      </c>
      <c r="O46" s="210">
        <v>81.412000000000006</v>
      </c>
      <c r="P46" s="210" t="s">
        <v>26</v>
      </c>
      <c r="Q46" s="211" t="s">
        <v>26</v>
      </c>
    </row>
    <row r="47" spans="1:20">
      <c r="B47" s="12" t="s">
        <v>72</v>
      </c>
    </row>
    <row r="48" spans="1:20">
      <c r="B48" s="14" t="s">
        <v>94</v>
      </c>
    </row>
    <row r="51" spans="4:4">
      <c r="D51" s="52"/>
    </row>
  </sheetData>
  <mergeCells count="1">
    <mergeCell ref="C6:Q6"/>
  </mergeCells>
  <pageMargins left="0.7" right="0.7" top="0.75" bottom="0.75" header="0.3" footer="0.3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64"/>
  <sheetViews>
    <sheetView topLeftCell="A3" zoomScale="60" zoomScaleNormal="60" workbookViewId="0">
      <selection activeCell="E43" sqref="E43"/>
    </sheetView>
  </sheetViews>
  <sheetFormatPr defaultRowHeight="14.4"/>
  <cols>
    <col min="1" max="1" width="18.77734375" customWidth="1"/>
    <col min="2" max="2" width="12.109375" customWidth="1"/>
    <col min="3" max="3" width="10.6640625" customWidth="1"/>
    <col min="4" max="4" width="10.5546875" style="14" customWidth="1"/>
    <col min="5" max="5" width="10.6640625" bestFit="1" customWidth="1"/>
    <col min="6" max="6" width="9" bestFit="1" customWidth="1"/>
    <col min="7" max="7" width="11" customWidth="1"/>
    <col min="8" max="8" width="14.33203125" customWidth="1"/>
    <col min="9" max="9" width="9.33203125" style="14" bestFit="1" customWidth="1"/>
    <col min="14" max="14" width="12.109375" customWidth="1"/>
    <col min="15" max="15" width="10.44140625" style="14" bestFit="1" customWidth="1"/>
    <col min="16" max="17" width="9.33203125" style="14" bestFit="1" customWidth="1"/>
    <col min="22" max="22" width="12.44140625" customWidth="1"/>
    <col min="31" max="31" width="11.88671875" customWidth="1"/>
    <col min="32" max="32" width="17.6640625" customWidth="1"/>
  </cols>
  <sheetData>
    <row r="1" spans="1:32" ht="22.2" customHeight="1">
      <c r="A1" s="185" t="s">
        <v>55</v>
      </c>
      <c r="B1" s="186" t="s">
        <v>99</v>
      </c>
      <c r="C1" s="187" t="s">
        <v>95</v>
      </c>
      <c r="D1" s="149" t="s">
        <v>126</v>
      </c>
      <c r="E1" s="188" t="s">
        <v>111</v>
      </c>
      <c r="F1" s="188" t="s">
        <v>112</v>
      </c>
      <c r="G1" s="188" t="s">
        <v>113</v>
      </c>
      <c r="H1" s="188" t="s">
        <v>120</v>
      </c>
      <c r="I1" s="149" t="s">
        <v>114</v>
      </c>
      <c r="J1" s="188" t="s">
        <v>115</v>
      </c>
      <c r="K1" s="188" t="s">
        <v>116</v>
      </c>
      <c r="L1" s="188" t="s">
        <v>117</v>
      </c>
      <c r="M1" s="188" t="s">
        <v>118</v>
      </c>
      <c r="N1" s="150" t="s">
        <v>119</v>
      </c>
      <c r="O1" s="151" t="s">
        <v>121</v>
      </c>
      <c r="P1" s="152" t="s">
        <v>122</v>
      </c>
      <c r="Q1" s="152" t="s">
        <v>123</v>
      </c>
      <c r="R1" s="153" t="s">
        <v>0</v>
      </c>
      <c r="S1" s="154" t="s">
        <v>1</v>
      </c>
      <c r="T1" s="154" t="s">
        <v>2</v>
      </c>
      <c r="U1" s="154" t="s">
        <v>3</v>
      </c>
      <c r="V1" s="154" t="s">
        <v>4</v>
      </c>
      <c r="W1" s="154" t="s">
        <v>5</v>
      </c>
      <c r="X1" s="154" t="s">
        <v>6</v>
      </c>
      <c r="Y1" s="154" t="s">
        <v>7</v>
      </c>
      <c r="Z1" s="154" t="s">
        <v>8</v>
      </c>
      <c r="AA1" s="154" t="s">
        <v>9</v>
      </c>
      <c r="AB1" s="154" t="s">
        <v>10</v>
      </c>
      <c r="AC1" s="154" t="s">
        <v>124</v>
      </c>
      <c r="AD1" s="154" t="s">
        <v>12</v>
      </c>
      <c r="AE1" s="154" t="s">
        <v>13</v>
      </c>
      <c r="AF1" s="189" t="s">
        <v>14</v>
      </c>
    </row>
    <row r="2" spans="1:32">
      <c r="A2" s="145" t="s">
        <v>105</v>
      </c>
      <c r="B2" s="74" t="s">
        <v>100</v>
      </c>
      <c r="C2" s="147" t="s">
        <v>96</v>
      </c>
      <c r="D2" s="24">
        <v>79.8</v>
      </c>
      <c r="E2" s="25">
        <v>25.11</v>
      </c>
      <c r="F2" s="36">
        <v>51.62</v>
      </c>
      <c r="G2" s="25">
        <v>10.23</v>
      </c>
      <c r="H2" s="25">
        <v>173.1</v>
      </c>
      <c r="I2" s="25">
        <v>13370.54</v>
      </c>
      <c r="J2" s="25">
        <v>77.489999999999995</v>
      </c>
      <c r="K2" s="36">
        <v>22.1</v>
      </c>
      <c r="L2" s="36" t="s">
        <v>26</v>
      </c>
      <c r="M2" s="36">
        <v>8.52</v>
      </c>
      <c r="N2" s="36">
        <v>1252.56</v>
      </c>
      <c r="O2" s="36">
        <v>34815.120000000003</v>
      </c>
      <c r="P2" s="36">
        <v>31.88</v>
      </c>
      <c r="Q2" s="36">
        <v>474.85</v>
      </c>
      <c r="R2" s="56">
        <v>0.58099999999999996</v>
      </c>
      <c r="S2" s="36">
        <v>56.494999999999997</v>
      </c>
      <c r="T2" s="36">
        <v>0.83199999999999996</v>
      </c>
      <c r="U2" s="36">
        <v>1.2999999999999999E-2</v>
      </c>
      <c r="V2" s="36">
        <v>0.38900000000000001</v>
      </c>
      <c r="W2" s="36">
        <v>1.0999999999999999E-2</v>
      </c>
      <c r="X2" s="36">
        <v>1.0999999999999999E-2</v>
      </c>
      <c r="Y2" s="36">
        <v>1E-3</v>
      </c>
      <c r="Z2" s="36">
        <v>4.2999999999999997E-2</v>
      </c>
      <c r="AA2" s="36">
        <v>1E-3</v>
      </c>
      <c r="AB2" s="36" t="s">
        <v>26</v>
      </c>
      <c r="AC2" s="36">
        <v>2E-3</v>
      </c>
      <c r="AD2" s="36">
        <v>7.2450000000000001</v>
      </c>
      <c r="AE2" s="47" t="s">
        <v>26</v>
      </c>
      <c r="AF2" s="57" t="s">
        <v>26</v>
      </c>
    </row>
    <row r="3" spans="1:32">
      <c r="A3" s="143" t="s">
        <v>106</v>
      </c>
      <c r="B3" s="75" t="s">
        <v>100</v>
      </c>
      <c r="C3" s="3" t="s">
        <v>96</v>
      </c>
      <c r="D3" s="18">
        <v>118.9</v>
      </c>
      <c r="E3" s="19">
        <v>39.9</v>
      </c>
      <c r="F3" s="31">
        <v>41.35</v>
      </c>
      <c r="G3" s="19">
        <v>22.49</v>
      </c>
      <c r="H3" s="19">
        <v>314.94</v>
      </c>
      <c r="I3" s="19">
        <v>12309.49</v>
      </c>
      <c r="J3" s="19">
        <v>46.46</v>
      </c>
      <c r="K3" s="31">
        <v>21.59</v>
      </c>
      <c r="L3" s="31" t="s">
        <v>26</v>
      </c>
      <c r="M3" s="31">
        <v>10.39</v>
      </c>
      <c r="N3" s="31">
        <v>1381.54</v>
      </c>
      <c r="O3" s="31">
        <v>36201.78</v>
      </c>
      <c r="P3" s="31">
        <v>30.91</v>
      </c>
      <c r="Q3" s="31">
        <v>753.77</v>
      </c>
      <c r="R3" s="55">
        <v>0.373</v>
      </c>
      <c r="S3" s="31">
        <v>378.63499999999999</v>
      </c>
      <c r="T3" s="31">
        <v>1.8460000000000001</v>
      </c>
      <c r="U3" s="31">
        <v>1.2999999999999999E-2</v>
      </c>
      <c r="V3" s="31">
        <v>4.444</v>
      </c>
      <c r="W3" s="31">
        <v>0.11899999999999999</v>
      </c>
      <c r="X3" s="31" t="s">
        <v>26</v>
      </c>
      <c r="Y3" s="31">
        <v>4.0000000000000001E-3</v>
      </c>
      <c r="Z3" s="31" t="s">
        <v>26</v>
      </c>
      <c r="AA3" s="31">
        <v>2E-3</v>
      </c>
      <c r="AB3" s="31">
        <v>3.0000000000000001E-3</v>
      </c>
      <c r="AC3" s="31">
        <v>4.1000000000000002E-2</v>
      </c>
      <c r="AD3" s="31">
        <v>40.04</v>
      </c>
      <c r="AE3" s="32" t="s">
        <v>26</v>
      </c>
      <c r="AF3" s="58" t="s">
        <v>26</v>
      </c>
    </row>
    <row r="4" spans="1:32">
      <c r="A4" s="143" t="s">
        <v>107</v>
      </c>
      <c r="B4" s="75" t="s">
        <v>100</v>
      </c>
      <c r="C4" s="3" t="s">
        <v>96</v>
      </c>
      <c r="D4" s="18">
        <v>309.52</v>
      </c>
      <c r="E4" s="19">
        <v>44.42</v>
      </c>
      <c r="F4" s="31">
        <v>178.7</v>
      </c>
      <c r="G4" s="19">
        <v>13.21</v>
      </c>
      <c r="H4" s="19">
        <v>301.61</v>
      </c>
      <c r="I4" s="19">
        <v>15806.59</v>
      </c>
      <c r="J4" s="19">
        <v>42.57</v>
      </c>
      <c r="K4" s="31">
        <v>53.48</v>
      </c>
      <c r="L4" s="31">
        <v>677.22</v>
      </c>
      <c r="M4" s="31">
        <v>7.54</v>
      </c>
      <c r="N4" s="31">
        <v>2215.8000000000002</v>
      </c>
      <c r="O4" s="31">
        <v>107599.49</v>
      </c>
      <c r="P4" s="31">
        <v>146.75</v>
      </c>
      <c r="Q4" s="31">
        <v>334.89</v>
      </c>
      <c r="R4" s="55">
        <v>0.51300000000000001</v>
      </c>
      <c r="S4" s="31">
        <v>49.881999999999998</v>
      </c>
      <c r="T4" s="32">
        <v>2.1890000000000001</v>
      </c>
      <c r="U4" s="32">
        <v>4.0000000000000001E-3</v>
      </c>
      <c r="V4" s="32">
        <v>4.9889999999999999</v>
      </c>
      <c r="W4" s="32">
        <v>0.105</v>
      </c>
      <c r="X4" s="32">
        <v>2.5999999999999999E-2</v>
      </c>
      <c r="Y4" s="32" t="s">
        <v>26</v>
      </c>
      <c r="Z4" s="32">
        <v>4.1000000000000002E-2</v>
      </c>
      <c r="AA4" s="32" t="s">
        <v>26</v>
      </c>
      <c r="AB4" s="32" t="s">
        <v>26</v>
      </c>
      <c r="AC4" s="32">
        <v>7.0000000000000001E-3</v>
      </c>
      <c r="AD4" s="31">
        <v>1694.4349999999999</v>
      </c>
      <c r="AE4" s="32" t="s">
        <v>26</v>
      </c>
      <c r="AF4" s="58" t="s">
        <v>26</v>
      </c>
    </row>
    <row r="5" spans="1:32">
      <c r="A5" s="143" t="s">
        <v>108</v>
      </c>
      <c r="B5" s="75" t="s">
        <v>100</v>
      </c>
      <c r="C5" s="3" t="s">
        <v>96</v>
      </c>
      <c r="D5" s="18">
        <v>1613.24</v>
      </c>
      <c r="E5" s="19">
        <v>61.34</v>
      </c>
      <c r="F5" s="31">
        <v>168.36</v>
      </c>
      <c r="G5" s="19">
        <v>16.309999999999999</v>
      </c>
      <c r="H5" s="19">
        <v>366.95</v>
      </c>
      <c r="I5" s="19">
        <v>13275.52</v>
      </c>
      <c r="J5" s="19">
        <v>48.1</v>
      </c>
      <c r="K5" s="31">
        <v>52.34</v>
      </c>
      <c r="L5" s="31">
        <v>29.45</v>
      </c>
      <c r="M5" s="31">
        <v>7.02</v>
      </c>
      <c r="N5" s="31">
        <v>1918.54</v>
      </c>
      <c r="O5" s="31">
        <v>111088.61</v>
      </c>
      <c r="P5" s="31">
        <v>143.27000000000001</v>
      </c>
      <c r="Q5" s="31">
        <v>320.95</v>
      </c>
      <c r="R5" s="55">
        <v>0.20200000000000001</v>
      </c>
      <c r="S5" s="31">
        <v>83.269000000000005</v>
      </c>
      <c r="T5" s="32">
        <v>2.399</v>
      </c>
      <c r="U5" s="32">
        <v>6.0000000000000001E-3</v>
      </c>
      <c r="V5" s="31">
        <v>9.2919999999999998</v>
      </c>
      <c r="W5" s="32">
        <v>0.14399999999999999</v>
      </c>
      <c r="X5" s="32" t="s">
        <v>26</v>
      </c>
      <c r="Y5" s="32">
        <v>4.0000000000000001E-3</v>
      </c>
      <c r="Z5" s="32">
        <v>1E-3</v>
      </c>
      <c r="AA5" s="32">
        <v>1E-3</v>
      </c>
      <c r="AB5" s="32">
        <v>2E-3</v>
      </c>
      <c r="AC5" s="32">
        <v>3.3000000000000002E-2</v>
      </c>
      <c r="AD5" s="32">
        <v>721.91</v>
      </c>
      <c r="AE5" s="32" t="s">
        <v>26</v>
      </c>
      <c r="AF5" s="58" t="s">
        <v>26</v>
      </c>
    </row>
    <row r="6" spans="1:32">
      <c r="A6" s="143" t="s">
        <v>109</v>
      </c>
      <c r="B6" s="75" t="s">
        <v>100</v>
      </c>
      <c r="C6" s="3" t="s">
        <v>96</v>
      </c>
      <c r="D6" s="18">
        <v>191.48</v>
      </c>
      <c r="E6" s="19">
        <v>30.23</v>
      </c>
      <c r="F6" s="31">
        <v>83.52</v>
      </c>
      <c r="G6" s="19">
        <v>26.63</v>
      </c>
      <c r="H6" s="19">
        <v>242.81</v>
      </c>
      <c r="I6" s="19">
        <v>13553.87</v>
      </c>
      <c r="J6" s="19">
        <v>100.62</v>
      </c>
      <c r="K6" s="31">
        <v>35.340000000000003</v>
      </c>
      <c r="L6" s="31">
        <v>393.07</v>
      </c>
      <c r="M6" s="31">
        <v>8.9600000000000009</v>
      </c>
      <c r="N6" s="31">
        <v>1371.52</v>
      </c>
      <c r="O6" s="31">
        <v>55877.84</v>
      </c>
      <c r="P6" s="31">
        <v>57.98</v>
      </c>
      <c r="Q6" s="31">
        <v>1465.94</v>
      </c>
      <c r="R6" s="55">
        <v>1.331</v>
      </c>
      <c r="S6" s="31">
        <v>43.881999999999998</v>
      </c>
      <c r="T6" s="32">
        <v>1.968</v>
      </c>
      <c r="U6" s="32">
        <v>0.03</v>
      </c>
      <c r="V6" s="32">
        <v>4.9320000000000004</v>
      </c>
      <c r="W6" s="32">
        <v>0.114</v>
      </c>
      <c r="X6" s="32">
        <v>1.4E-2</v>
      </c>
      <c r="Y6" s="32">
        <v>7.0000000000000001E-3</v>
      </c>
      <c r="Z6" s="32">
        <v>4.2999999999999997E-2</v>
      </c>
      <c r="AA6" s="32">
        <v>2E-3</v>
      </c>
      <c r="AB6" s="32">
        <v>2E-3</v>
      </c>
      <c r="AC6" s="32">
        <v>1.6E-2</v>
      </c>
      <c r="AD6" s="31">
        <v>844.72799999999995</v>
      </c>
      <c r="AE6" s="32" t="s">
        <v>26</v>
      </c>
      <c r="AF6" s="58" t="s">
        <v>26</v>
      </c>
    </row>
    <row r="7" spans="1:32">
      <c r="A7" s="144" t="s">
        <v>110</v>
      </c>
      <c r="B7" s="76" t="s">
        <v>100</v>
      </c>
      <c r="C7" s="148" t="s">
        <v>96</v>
      </c>
      <c r="D7" s="18">
        <v>1851.6</v>
      </c>
      <c r="E7" s="19">
        <v>33.549999999999997</v>
      </c>
      <c r="F7" s="31">
        <v>74.55</v>
      </c>
      <c r="G7" s="19">
        <v>20.86</v>
      </c>
      <c r="H7" s="19">
        <v>476.32</v>
      </c>
      <c r="I7" s="19">
        <v>10363.82</v>
      </c>
      <c r="J7" s="19">
        <v>67.010000000000005</v>
      </c>
      <c r="K7" s="31">
        <v>36.03</v>
      </c>
      <c r="L7" s="31" t="s">
        <v>26</v>
      </c>
      <c r="M7" s="31">
        <v>12.1</v>
      </c>
      <c r="N7" s="31">
        <v>899.55</v>
      </c>
      <c r="O7" s="31">
        <v>60315.040000000001</v>
      </c>
      <c r="P7" s="31">
        <v>48.34</v>
      </c>
      <c r="Q7" s="31">
        <v>1522.13</v>
      </c>
      <c r="R7" s="55">
        <v>0.14099999999999999</v>
      </c>
      <c r="S7" s="31">
        <v>48.329000000000001</v>
      </c>
      <c r="T7" s="32">
        <v>1.9550000000000001</v>
      </c>
      <c r="U7" s="32">
        <v>0.185</v>
      </c>
      <c r="V7" s="32">
        <v>3.1629999999999998</v>
      </c>
      <c r="W7" s="32">
        <v>0.14199999999999999</v>
      </c>
      <c r="X7" s="32" t="s">
        <v>26</v>
      </c>
      <c r="Y7" s="32">
        <v>8.0000000000000002E-3</v>
      </c>
      <c r="Z7" s="32">
        <v>1.2E-2</v>
      </c>
      <c r="AA7" s="32">
        <v>3.0000000000000001E-3</v>
      </c>
      <c r="AB7" s="32">
        <v>2E-3</v>
      </c>
      <c r="AC7" s="32">
        <v>2.7E-2</v>
      </c>
      <c r="AD7" s="32">
        <v>95.662999999999997</v>
      </c>
      <c r="AE7" s="32" t="s">
        <v>26</v>
      </c>
      <c r="AF7" s="58" t="s">
        <v>26</v>
      </c>
    </row>
    <row r="8" spans="1:32">
      <c r="A8" s="143" t="s">
        <v>105</v>
      </c>
      <c r="B8" s="72" t="s">
        <v>101</v>
      </c>
      <c r="C8" s="72" t="s">
        <v>96</v>
      </c>
      <c r="D8" s="24">
        <v>291.68</v>
      </c>
      <c r="E8" s="38">
        <v>11.72</v>
      </c>
      <c r="F8" s="39">
        <v>58.1</v>
      </c>
      <c r="G8" s="38">
        <v>14.04</v>
      </c>
      <c r="H8" s="38">
        <v>247.58</v>
      </c>
      <c r="I8" s="25">
        <v>15636.58</v>
      </c>
      <c r="J8" s="38">
        <v>116.02</v>
      </c>
      <c r="K8" s="39">
        <v>21.94</v>
      </c>
      <c r="L8" s="39" t="s">
        <v>26</v>
      </c>
      <c r="M8" s="39">
        <v>18.54</v>
      </c>
      <c r="N8" s="39">
        <v>1408.42</v>
      </c>
      <c r="O8" s="36">
        <f>19050.65*2</f>
        <v>38101.300000000003</v>
      </c>
      <c r="P8" s="36">
        <v>51.3</v>
      </c>
      <c r="Q8" s="36">
        <v>1140.8399999999999</v>
      </c>
      <c r="R8" s="63">
        <v>0.40200000000000002</v>
      </c>
      <c r="S8" s="47">
        <v>73.5</v>
      </c>
      <c r="T8" s="47">
        <v>0.79200000000000004</v>
      </c>
      <c r="U8" s="47">
        <v>1.4E-2</v>
      </c>
      <c r="V8" s="47">
        <v>0.14799999999999999</v>
      </c>
      <c r="W8" s="47">
        <v>1.2E-2</v>
      </c>
      <c r="X8" s="47">
        <v>0.10199999999999999</v>
      </c>
      <c r="Y8" s="47" t="s">
        <v>26</v>
      </c>
      <c r="Z8" s="47" t="s">
        <v>26</v>
      </c>
      <c r="AA8" s="47" t="s">
        <v>26</v>
      </c>
      <c r="AB8" s="47" t="s">
        <v>26</v>
      </c>
      <c r="AC8" s="47" t="s">
        <v>26</v>
      </c>
      <c r="AD8" s="47">
        <v>4.4610000000000003</v>
      </c>
      <c r="AE8" s="47" t="s">
        <v>26</v>
      </c>
      <c r="AF8" s="57" t="s">
        <v>26</v>
      </c>
    </row>
    <row r="9" spans="1:32">
      <c r="A9" s="143" t="s">
        <v>106</v>
      </c>
      <c r="B9" s="72" t="s">
        <v>101</v>
      </c>
      <c r="C9" s="72" t="s">
        <v>96</v>
      </c>
      <c r="D9" s="18">
        <v>237.88</v>
      </c>
      <c r="E9" s="40">
        <v>26.5</v>
      </c>
      <c r="F9" s="41">
        <v>27.26</v>
      </c>
      <c r="G9" s="40">
        <v>98.46</v>
      </c>
      <c r="H9" s="40">
        <v>352.78</v>
      </c>
      <c r="I9" s="19">
        <v>15457.42</v>
      </c>
      <c r="J9" s="40">
        <v>60</v>
      </c>
      <c r="K9" s="41">
        <v>20.02</v>
      </c>
      <c r="L9" s="41" t="s">
        <v>26</v>
      </c>
      <c r="M9" s="41">
        <v>11.22</v>
      </c>
      <c r="N9" s="41">
        <v>1514.16</v>
      </c>
      <c r="O9" s="31">
        <f>16672.26*2</f>
        <v>33344.519999999997</v>
      </c>
      <c r="P9" s="31">
        <v>10.78</v>
      </c>
      <c r="Q9" s="31">
        <v>2933.96</v>
      </c>
      <c r="R9" s="64">
        <v>0.53700000000000003</v>
      </c>
      <c r="S9" s="32">
        <v>703.45100000000002</v>
      </c>
      <c r="T9" s="32">
        <v>1.956</v>
      </c>
      <c r="U9" s="32">
        <v>1.4999999999999999E-2</v>
      </c>
      <c r="V9" s="32">
        <v>4.9489999999999998</v>
      </c>
      <c r="W9" s="32">
        <v>0.125</v>
      </c>
      <c r="X9" s="32" t="s">
        <v>26</v>
      </c>
      <c r="Y9" s="32" t="s">
        <v>26</v>
      </c>
      <c r="Z9" s="32" t="s">
        <v>26</v>
      </c>
      <c r="AA9" s="32" t="s">
        <v>26</v>
      </c>
      <c r="AB9" s="32" t="s">
        <v>26</v>
      </c>
      <c r="AC9" s="32">
        <v>0.05</v>
      </c>
      <c r="AD9" s="32">
        <v>31.434999999999999</v>
      </c>
      <c r="AE9" s="32" t="s">
        <v>26</v>
      </c>
      <c r="AF9" s="58" t="s">
        <v>26</v>
      </c>
    </row>
    <row r="10" spans="1:32">
      <c r="A10" s="143" t="s">
        <v>107</v>
      </c>
      <c r="B10" s="72" t="s">
        <v>101</v>
      </c>
      <c r="C10" s="72" t="s">
        <v>96</v>
      </c>
      <c r="D10" s="18">
        <v>299</v>
      </c>
      <c r="E10" s="40">
        <v>46.16</v>
      </c>
      <c r="F10" s="41">
        <v>199.96</v>
      </c>
      <c r="G10" s="40">
        <v>20.2</v>
      </c>
      <c r="H10" s="40">
        <v>595.6</v>
      </c>
      <c r="I10" s="19">
        <v>22196.9</v>
      </c>
      <c r="J10" s="40">
        <v>69.8</v>
      </c>
      <c r="K10" s="41">
        <v>44.76</v>
      </c>
      <c r="L10" s="41">
        <v>421.86</v>
      </c>
      <c r="M10" s="41">
        <v>16.62</v>
      </c>
      <c r="N10" s="41">
        <v>2629.48</v>
      </c>
      <c r="O10" s="31">
        <f>63458.06*2</f>
        <v>126916.12</v>
      </c>
      <c r="P10" s="31">
        <v>162.63999999999999</v>
      </c>
      <c r="Q10" s="31">
        <v>1048.46</v>
      </c>
      <c r="R10" s="64">
        <v>0.45200000000000001</v>
      </c>
      <c r="S10" s="32">
        <v>85.57</v>
      </c>
      <c r="T10" s="32">
        <v>2.129</v>
      </c>
      <c r="U10" s="32" t="s">
        <v>26</v>
      </c>
      <c r="V10" s="32">
        <v>3.7789999999999999</v>
      </c>
      <c r="W10" s="32">
        <v>8.3000000000000004E-2</v>
      </c>
      <c r="X10" s="32">
        <v>3.5999999999999997E-2</v>
      </c>
      <c r="Y10" s="32" t="s">
        <v>26</v>
      </c>
      <c r="Z10" s="32" t="s">
        <v>26</v>
      </c>
      <c r="AA10" s="32" t="s">
        <v>26</v>
      </c>
      <c r="AB10" s="32" t="s">
        <v>26</v>
      </c>
      <c r="AC10" s="32">
        <v>3.4000000000000002E-2</v>
      </c>
      <c r="AD10" s="32">
        <v>930.95500000000004</v>
      </c>
      <c r="AE10" s="32" t="s">
        <v>26</v>
      </c>
      <c r="AF10" s="58" t="s">
        <v>26</v>
      </c>
    </row>
    <row r="11" spans="1:32">
      <c r="A11" s="143" t="s">
        <v>108</v>
      </c>
      <c r="B11" s="72" t="s">
        <v>101</v>
      </c>
      <c r="C11" s="72" t="s">
        <v>96</v>
      </c>
      <c r="D11" s="18">
        <v>694.5</v>
      </c>
      <c r="E11" s="40">
        <v>53.32</v>
      </c>
      <c r="F11" s="41">
        <v>162.82</v>
      </c>
      <c r="G11" s="40">
        <v>72.22</v>
      </c>
      <c r="H11" s="40">
        <v>334.38</v>
      </c>
      <c r="I11" s="19">
        <v>19226.96</v>
      </c>
      <c r="J11" s="40">
        <v>56.44</v>
      </c>
      <c r="K11" s="41">
        <v>43.92</v>
      </c>
      <c r="L11" s="41" t="s">
        <v>26</v>
      </c>
      <c r="M11" s="41">
        <v>8.58</v>
      </c>
      <c r="N11" s="41">
        <v>2673.9</v>
      </c>
      <c r="O11" s="31">
        <f>56522.73*2</f>
        <v>113045.46</v>
      </c>
      <c r="P11" s="31">
        <v>136.5</v>
      </c>
      <c r="Q11" s="31">
        <v>1834.16</v>
      </c>
      <c r="R11" s="64">
        <v>0.53100000000000003</v>
      </c>
      <c r="S11" s="32">
        <v>262.92099999999999</v>
      </c>
      <c r="T11" s="32">
        <v>2.556</v>
      </c>
      <c r="U11" s="32">
        <v>5.0000000000000001E-3</v>
      </c>
      <c r="V11" s="32">
        <v>7.0380000000000003</v>
      </c>
      <c r="W11" s="32">
        <v>0.121</v>
      </c>
      <c r="X11" s="32">
        <v>2.1999999999999999E-2</v>
      </c>
      <c r="Y11" s="32" t="s">
        <v>26</v>
      </c>
      <c r="Z11" s="32" t="s">
        <v>26</v>
      </c>
      <c r="AA11" s="32" t="s">
        <v>26</v>
      </c>
      <c r="AB11" s="32" t="s">
        <v>26</v>
      </c>
      <c r="AC11" s="32">
        <v>5.8999999999999997E-2</v>
      </c>
      <c r="AD11" s="32">
        <v>123.434</v>
      </c>
      <c r="AE11" s="32" t="s">
        <v>26</v>
      </c>
      <c r="AF11" s="58" t="s">
        <v>26</v>
      </c>
    </row>
    <row r="12" spans="1:32">
      <c r="A12" s="143" t="s">
        <v>109</v>
      </c>
      <c r="B12" s="72" t="s">
        <v>101</v>
      </c>
      <c r="C12" s="72" t="s">
        <v>96</v>
      </c>
      <c r="D12" s="18">
        <v>316.10000000000002</v>
      </c>
      <c r="E12" s="40">
        <v>19.88</v>
      </c>
      <c r="F12" s="41">
        <v>83.58</v>
      </c>
      <c r="G12" s="40">
        <v>12.58</v>
      </c>
      <c r="H12" s="41">
        <v>344</v>
      </c>
      <c r="I12" s="31">
        <v>15613.34</v>
      </c>
      <c r="J12" s="41">
        <v>127.62</v>
      </c>
      <c r="K12" s="41">
        <v>31.12</v>
      </c>
      <c r="L12" s="41">
        <v>361.72</v>
      </c>
      <c r="M12" s="41">
        <v>22.3</v>
      </c>
      <c r="N12" s="41">
        <v>1443.2</v>
      </c>
      <c r="O12" s="31">
        <f>29304.79*2</f>
        <v>58609.58</v>
      </c>
      <c r="P12" s="31">
        <v>61.6</v>
      </c>
      <c r="Q12" s="31">
        <v>1738.68</v>
      </c>
      <c r="R12" s="64">
        <v>0.89800000000000002</v>
      </c>
      <c r="S12" s="32">
        <v>51.771000000000001</v>
      </c>
      <c r="T12" s="32">
        <v>1.8420000000000001</v>
      </c>
      <c r="U12" s="32">
        <v>1.7999999999999999E-2</v>
      </c>
      <c r="V12" s="32">
        <v>1.5489999999999999</v>
      </c>
      <c r="W12" s="32">
        <v>0.108</v>
      </c>
      <c r="X12" s="32">
        <v>2.1000000000000001E-2</v>
      </c>
      <c r="Y12" s="32" t="s">
        <v>26</v>
      </c>
      <c r="Z12" s="32" t="s">
        <v>26</v>
      </c>
      <c r="AA12" s="32" t="s">
        <v>26</v>
      </c>
      <c r="AB12" s="32" t="s">
        <v>26</v>
      </c>
      <c r="AC12" s="32">
        <v>7.0000000000000001E-3</v>
      </c>
      <c r="AD12" s="32">
        <v>579.99900000000002</v>
      </c>
      <c r="AE12" s="32" t="s">
        <v>26</v>
      </c>
      <c r="AF12" s="58" t="s">
        <v>26</v>
      </c>
    </row>
    <row r="13" spans="1:32">
      <c r="A13" s="143" t="s">
        <v>110</v>
      </c>
      <c r="B13" s="72" t="s">
        <v>101</v>
      </c>
      <c r="C13" s="72" t="s">
        <v>96</v>
      </c>
      <c r="D13" s="21">
        <v>724.48</v>
      </c>
      <c r="E13" s="42">
        <v>34.479999999999997</v>
      </c>
      <c r="F13" s="43">
        <v>46.98</v>
      </c>
      <c r="G13" s="42">
        <v>60.92</v>
      </c>
      <c r="H13" s="43">
        <v>457.42</v>
      </c>
      <c r="I13" s="37">
        <v>15096.9</v>
      </c>
      <c r="J13" s="43">
        <v>97.12</v>
      </c>
      <c r="K13" s="43">
        <v>32.54</v>
      </c>
      <c r="L13" s="43" t="s">
        <v>26</v>
      </c>
      <c r="M13" s="43">
        <v>16.02</v>
      </c>
      <c r="N13" s="43">
        <v>1606.62</v>
      </c>
      <c r="O13" s="37">
        <f>28117.44*2</f>
        <v>56234.879999999997</v>
      </c>
      <c r="P13" s="37">
        <v>21.78</v>
      </c>
      <c r="Q13" s="37">
        <v>2115.8000000000002</v>
      </c>
      <c r="R13" s="65">
        <v>0.29399999999999998</v>
      </c>
      <c r="S13" s="48">
        <v>89.492000000000004</v>
      </c>
      <c r="T13" s="48">
        <v>2.044</v>
      </c>
      <c r="U13" s="48">
        <v>8.9999999999999993E-3</v>
      </c>
      <c r="V13" s="48">
        <v>1.5289999999999999</v>
      </c>
      <c r="W13" s="48">
        <v>0.14099999999999999</v>
      </c>
      <c r="X13" s="48" t="s">
        <v>26</v>
      </c>
      <c r="Y13" s="48" t="s">
        <v>26</v>
      </c>
      <c r="Z13" s="48" t="s">
        <v>26</v>
      </c>
      <c r="AA13" s="48" t="s">
        <v>26</v>
      </c>
      <c r="AB13" s="48" t="s">
        <v>26</v>
      </c>
      <c r="AC13" s="48">
        <v>4.2000000000000003E-2</v>
      </c>
      <c r="AD13" s="48">
        <v>14.569000000000001</v>
      </c>
      <c r="AE13" s="48" t="s">
        <v>26</v>
      </c>
      <c r="AF13" s="60" t="s">
        <v>26</v>
      </c>
    </row>
    <row r="14" spans="1:32">
      <c r="A14" s="145" t="s">
        <v>105</v>
      </c>
      <c r="B14" s="71" t="s">
        <v>100</v>
      </c>
      <c r="C14" s="71" t="s">
        <v>97</v>
      </c>
      <c r="D14" s="18">
        <v>97.58</v>
      </c>
      <c r="E14" s="19">
        <v>24.32</v>
      </c>
      <c r="F14" s="31">
        <v>39.46</v>
      </c>
      <c r="G14" s="19">
        <v>5.71</v>
      </c>
      <c r="H14" s="31">
        <v>90.77</v>
      </c>
      <c r="I14" s="31">
        <v>12877.11</v>
      </c>
      <c r="J14" s="31">
        <v>60.16</v>
      </c>
      <c r="K14" s="31">
        <v>22.32</v>
      </c>
      <c r="L14" s="31" t="s">
        <v>26</v>
      </c>
      <c r="M14" s="31">
        <v>9.1300000000000008</v>
      </c>
      <c r="N14" s="31">
        <v>1104.8800000000001</v>
      </c>
      <c r="O14" s="31">
        <v>34217.279999999999</v>
      </c>
      <c r="P14" s="31">
        <v>23.68</v>
      </c>
      <c r="Q14" s="31">
        <v>583.95000000000005</v>
      </c>
      <c r="R14" s="64">
        <v>0.65500000000000003</v>
      </c>
      <c r="S14" s="32">
        <v>61.792000000000002</v>
      </c>
      <c r="T14" s="32">
        <v>1.77</v>
      </c>
      <c r="U14" s="32">
        <v>1.2999999999999999E-2</v>
      </c>
      <c r="V14" s="32">
        <v>0.32200000000000001</v>
      </c>
      <c r="W14" s="32">
        <v>2.5000000000000001E-2</v>
      </c>
      <c r="X14" s="32">
        <v>0.48599999999999999</v>
      </c>
      <c r="Y14" s="32" t="s">
        <v>26</v>
      </c>
      <c r="Z14" s="32">
        <v>4.3999999999999997E-2</v>
      </c>
      <c r="AA14" s="32" t="s">
        <v>26</v>
      </c>
      <c r="AB14" s="32" t="s">
        <v>26</v>
      </c>
      <c r="AC14" s="32" t="s">
        <v>26</v>
      </c>
      <c r="AD14" s="32">
        <v>2.891</v>
      </c>
      <c r="AE14" s="32" t="s">
        <v>26</v>
      </c>
      <c r="AF14" s="58" t="s">
        <v>26</v>
      </c>
    </row>
    <row r="15" spans="1:32">
      <c r="A15" s="143" t="s">
        <v>106</v>
      </c>
      <c r="B15" s="72" t="s">
        <v>100</v>
      </c>
      <c r="C15" s="72" t="s">
        <v>97</v>
      </c>
      <c r="D15" s="18">
        <v>100.09</v>
      </c>
      <c r="E15" s="19">
        <v>38.69</v>
      </c>
      <c r="F15" s="31">
        <v>24.59</v>
      </c>
      <c r="G15" s="19">
        <v>38.64</v>
      </c>
      <c r="H15" s="31">
        <v>559.32000000000005</v>
      </c>
      <c r="I15" s="31">
        <v>12126.95</v>
      </c>
      <c r="J15" s="31">
        <v>43.15</v>
      </c>
      <c r="K15" s="31">
        <v>20.76</v>
      </c>
      <c r="L15" s="31" t="s">
        <v>26</v>
      </c>
      <c r="M15" s="31">
        <v>8.6</v>
      </c>
      <c r="N15" s="31">
        <v>1217.28</v>
      </c>
      <c r="O15" s="31">
        <v>33614.06</v>
      </c>
      <c r="P15" s="31" t="s">
        <v>26</v>
      </c>
      <c r="Q15" s="31">
        <v>822.24</v>
      </c>
      <c r="R15" s="64">
        <v>0.38300000000000001</v>
      </c>
      <c r="S15" s="32">
        <v>401.09899999999999</v>
      </c>
      <c r="T15" s="31">
        <v>3.86</v>
      </c>
      <c r="U15" s="31">
        <v>1.6E-2</v>
      </c>
      <c r="V15" s="31">
        <v>2.766</v>
      </c>
      <c r="W15" s="31">
        <v>0.746</v>
      </c>
      <c r="X15" s="32">
        <v>4.8000000000000001E-2</v>
      </c>
      <c r="Y15" s="32" t="s">
        <v>26</v>
      </c>
      <c r="Z15" s="32" t="s">
        <v>26</v>
      </c>
      <c r="AA15" s="32" t="s">
        <v>26</v>
      </c>
      <c r="AB15" s="32" t="s">
        <v>26</v>
      </c>
      <c r="AC15" s="32">
        <v>3.5000000000000003E-2</v>
      </c>
      <c r="AD15" s="31">
        <v>10.455</v>
      </c>
      <c r="AE15" s="32" t="s">
        <v>26</v>
      </c>
      <c r="AF15" s="58" t="s">
        <v>26</v>
      </c>
    </row>
    <row r="16" spans="1:32">
      <c r="A16" s="143" t="s">
        <v>107</v>
      </c>
      <c r="B16" s="72" t="s">
        <v>100</v>
      </c>
      <c r="C16" s="72" t="s">
        <v>97</v>
      </c>
      <c r="D16" s="18">
        <v>227.89</v>
      </c>
      <c r="E16" s="19">
        <v>63.14</v>
      </c>
      <c r="F16" s="31">
        <v>167.88</v>
      </c>
      <c r="G16" s="19">
        <v>10.96</v>
      </c>
      <c r="H16" s="31">
        <v>218.76</v>
      </c>
      <c r="I16" s="31">
        <v>16339.74</v>
      </c>
      <c r="J16" s="31">
        <v>57.54</v>
      </c>
      <c r="K16" s="31">
        <v>52.64</v>
      </c>
      <c r="L16" s="31">
        <v>636.24</v>
      </c>
      <c r="M16" s="31">
        <v>5.47</v>
      </c>
      <c r="N16" s="31">
        <v>2179.58</v>
      </c>
      <c r="O16" s="31">
        <v>106677.09</v>
      </c>
      <c r="P16" s="31">
        <v>123.39</v>
      </c>
      <c r="Q16" s="31">
        <v>378.26</v>
      </c>
      <c r="R16" s="64">
        <f>0.516*2</f>
        <v>1.032</v>
      </c>
      <c r="S16" s="32">
        <f>47.2*2</f>
        <v>94.4</v>
      </c>
      <c r="T16" s="31">
        <f>3.431*2</f>
        <v>6.8620000000000001</v>
      </c>
      <c r="U16" s="31">
        <f>0.006*2</f>
        <v>1.2E-2</v>
      </c>
      <c r="V16" s="31">
        <f>1.812*2</f>
        <v>3.6240000000000001</v>
      </c>
      <c r="W16" s="31">
        <f>0.545*2</f>
        <v>1.0900000000000001</v>
      </c>
      <c r="X16" s="32">
        <f>0.114*2</f>
        <v>0.22800000000000001</v>
      </c>
      <c r="Y16" s="32" t="s">
        <v>26</v>
      </c>
      <c r="Z16" s="32" t="s">
        <v>26</v>
      </c>
      <c r="AA16" s="32" t="s">
        <v>26</v>
      </c>
      <c r="AB16" s="32" t="s">
        <v>26</v>
      </c>
      <c r="AC16" s="32" t="s">
        <v>26</v>
      </c>
      <c r="AD16" s="31">
        <f>1424.888*2</f>
        <v>2849.7759999999998</v>
      </c>
      <c r="AE16" s="32" t="s">
        <v>26</v>
      </c>
      <c r="AF16" s="58" t="s">
        <v>26</v>
      </c>
    </row>
    <row r="17" spans="1:32">
      <c r="A17" s="143" t="s">
        <v>108</v>
      </c>
      <c r="B17" s="72" t="s">
        <v>100</v>
      </c>
      <c r="C17" s="72" t="s">
        <v>97</v>
      </c>
      <c r="D17" s="18">
        <v>1454.73</v>
      </c>
      <c r="E17" s="19">
        <v>70.58</v>
      </c>
      <c r="F17" s="31">
        <v>154.87</v>
      </c>
      <c r="G17" s="19">
        <v>45.22</v>
      </c>
      <c r="H17" s="31">
        <v>577.1</v>
      </c>
      <c r="I17" s="31">
        <v>13723.08</v>
      </c>
      <c r="J17" s="31">
        <v>53.77</v>
      </c>
      <c r="K17" s="31">
        <v>51.05</v>
      </c>
      <c r="L17" s="31">
        <v>67.040000000000006</v>
      </c>
      <c r="M17" s="31">
        <v>6.2</v>
      </c>
      <c r="N17" s="31">
        <v>1961.81</v>
      </c>
      <c r="O17" s="31">
        <v>109678.11</v>
      </c>
      <c r="P17" s="31">
        <v>130.09</v>
      </c>
      <c r="Q17" s="31">
        <v>348.67</v>
      </c>
      <c r="R17" s="64">
        <v>0.23</v>
      </c>
      <c r="S17" s="32">
        <v>78.141999999999996</v>
      </c>
      <c r="T17" s="32">
        <v>4.1070000000000002</v>
      </c>
      <c r="U17" s="32" t="s">
        <v>26</v>
      </c>
      <c r="V17" s="32">
        <v>5.3710000000000004</v>
      </c>
      <c r="W17" s="32">
        <v>0.77700000000000002</v>
      </c>
      <c r="X17" s="32">
        <v>4.3999999999999997E-2</v>
      </c>
      <c r="Y17" s="32" t="s">
        <v>26</v>
      </c>
      <c r="Z17" s="32" t="s">
        <v>26</v>
      </c>
      <c r="AA17" s="32" t="s">
        <v>26</v>
      </c>
      <c r="AB17" s="32" t="s">
        <v>26</v>
      </c>
      <c r="AC17" s="32">
        <v>3.4000000000000002E-2</v>
      </c>
      <c r="AD17" s="32">
        <v>237.245</v>
      </c>
      <c r="AE17" s="32" t="s">
        <v>26</v>
      </c>
      <c r="AF17" s="58" t="s">
        <v>26</v>
      </c>
    </row>
    <row r="18" spans="1:32">
      <c r="A18" s="143" t="s">
        <v>109</v>
      </c>
      <c r="B18" s="72" t="s">
        <v>100</v>
      </c>
      <c r="C18" s="72" t="s">
        <v>97</v>
      </c>
      <c r="D18" s="18">
        <v>153.02000000000001</v>
      </c>
      <c r="E18" s="19">
        <v>33.49</v>
      </c>
      <c r="F18" s="31">
        <v>71.47</v>
      </c>
      <c r="G18" s="19">
        <v>35.869999999999997</v>
      </c>
      <c r="H18" s="31">
        <v>148.91</v>
      </c>
      <c r="I18" s="31">
        <v>14008.16</v>
      </c>
      <c r="J18" s="31">
        <v>130.04</v>
      </c>
      <c r="K18" s="31">
        <v>36</v>
      </c>
      <c r="L18" s="31">
        <v>355.46</v>
      </c>
      <c r="M18" s="31">
        <v>7.14</v>
      </c>
      <c r="N18" s="31">
        <v>1329.74</v>
      </c>
      <c r="O18" s="31">
        <v>53501.07</v>
      </c>
      <c r="P18" s="31">
        <v>47.94</v>
      </c>
      <c r="Q18" s="31">
        <v>1487.44</v>
      </c>
      <c r="R18" s="64">
        <v>1.579</v>
      </c>
      <c r="S18" s="32">
        <v>51.716000000000001</v>
      </c>
      <c r="T18" s="32">
        <v>3.1659999999999999</v>
      </c>
      <c r="U18" s="32">
        <v>7.0000000000000007E-2</v>
      </c>
      <c r="V18" s="32">
        <v>2.6179999999999999</v>
      </c>
      <c r="W18" s="32">
        <v>0.62</v>
      </c>
      <c r="X18" s="32">
        <v>0.11899999999999999</v>
      </c>
      <c r="Y18" s="32" t="s">
        <v>26</v>
      </c>
      <c r="Z18" s="32">
        <v>7.5999999999999998E-2</v>
      </c>
      <c r="AA18" s="32" t="s">
        <v>26</v>
      </c>
      <c r="AB18" s="32" t="s">
        <v>26</v>
      </c>
      <c r="AC18" s="32" t="s">
        <v>26</v>
      </c>
      <c r="AD18" s="32">
        <v>729.79399999999998</v>
      </c>
      <c r="AE18" s="32" t="s">
        <v>26</v>
      </c>
      <c r="AF18" s="58" t="s">
        <v>26</v>
      </c>
    </row>
    <row r="19" spans="1:32">
      <c r="A19" s="144" t="s">
        <v>110</v>
      </c>
      <c r="B19" s="73" t="s">
        <v>100</v>
      </c>
      <c r="C19" s="73" t="s">
        <v>97</v>
      </c>
      <c r="D19" s="21">
        <v>1573.02</v>
      </c>
      <c r="E19" s="22">
        <v>31.36</v>
      </c>
      <c r="F19" s="37">
        <v>54.34</v>
      </c>
      <c r="G19" s="22">
        <v>57.74</v>
      </c>
      <c r="H19" s="37">
        <v>796.05</v>
      </c>
      <c r="I19" s="37">
        <v>12085.94</v>
      </c>
      <c r="J19" s="37">
        <v>85.39</v>
      </c>
      <c r="K19" s="37">
        <v>33.74</v>
      </c>
      <c r="L19" s="37" t="s">
        <v>26</v>
      </c>
      <c r="M19" s="37">
        <v>11.73</v>
      </c>
      <c r="N19" s="37">
        <v>923.49</v>
      </c>
      <c r="O19" s="37">
        <v>57365.87</v>
      </c>
      <c r="P19" s="37">
        <v>38.22</v>
      </c>
      <c r="Q19" s="37">
        <v>1542.75</v>
      </c>
      <c r="R19" s="65">
        <v>0.224</v>
      </c>
      <c r="S19" s="48">
        <v>51.17</v>
      </c>
      <c r="T19" s="48">
        <v>3.528</v>
      </c>
      <c r="U19" s="48">
        <v>2.1000000000000001E-2</v>
      </c>
      <c r="V19" s="48">
        <v>5.282</v>
      </c>
      <c r="W19" s="48">
        <v>0.72699999999999998</v>
      </c>
      <c r="X19" s="48" t="s">
        <v>26</v>
      </c>
      <c r="Y19" s="48" t="s">
        <v>26</v>
      </c>
      <c r="Z19" s="48" t="s">
        <v>26</v>
      </c>
      <c r="AA19" s="48" t="s">
        <v>26</v>
      </c>
      <c r="AB19" s="48" t="s">
        <v>26</v>
      </c>
      <c r="AC19" s="48">
        <v>3.2000000000000001E-2</v>
      </c>
      <c r="AD19" s="48">
        <v>131.97</v>
      </c>
      <c r="AE19" s="48" t="s">
        <v>26</v>
      </c>
      <c r="AF19" s="60" t="s">
        <v>26</v>
      </c>
    </row>
    <row r="20" spans="1:32">
      <c r="A20" s="28" t="s">
        <v>105</v>
      </c>
      <c r="B20" t="s">
        <v>101</v>
      </c>
      <c r="C20" s="75" t="s">
        <v>97</v>
      </c>
      <c r="D20" s="92">
        <v>199.94</v>
      </c>
      <c r="E20" s="41" t="s">
        <v>26</v>
      </c>
      <c r="F20" s="41">
        <v>35.82</v>
      </c>
      <c r="G20" s="41">
        <v>11.36</v>
      </c>
      <c r="H20" s="41" t="s">
        <v>26</v>
      </c>
      <c r="I20" s="41">
        <v>13875.94</v>
      </c>
      <c r="J20" s="41">
        <v>37.08</v>
      </c>
      <c r="K20" s="41">
        <v>21.68</v>
      </c>
      <c r="L20" s="41" t="s">
        <v>26</v>
      </c>
      <c r="M20" s="41">
        <v>19.36</v>
      </c>
      <c r="N20" s="61">
        <v>1166.5999999999999</v>
      </c>
      <c r="O20" s="41">
        <v>32748.3</v>
      </c>
      <c r="P20" s="41">
        <v>253.34</v>
      </c>
      <c r="Q20" s="115">
        <f>716.04*2</f>
        <v>1432.08</v>
      </c>
      <c r="R20" s="64">
        <v>0.434</v>
      </c>
      <c r="S20" s="32">
        <v>107.675</v>
      </c>
      <c r="T20" s="32">
        <v>1.69</v>
      </c>
      <c r="U20" s="32">
        <v>1.2E-2</v>
      </c>
      <c r="V20" s="32">
        <v>0.127</v>
      </c>
      <c r="W20" s="32">
        <v>8.9999999999999993E-3</v>
      </c>
      <c r="X20" s="32">
        <v>0.45900000000000002</v>
      </c>
      <c r="Y20" s="32" t="s">
        <v>26</v>
      </c>
      <c r="Z20" s="32">
        <v>5.0999999999999997E-2</v>
      </c>
      <c r="AA20" s="32" t="s">
        <v>26</v>
      </c>
      <c r="AB20" s="32" t="s">
        <v>26</v>
      </c>
      <c r="AC20" s="32">
        <v>0</v>
      </c>
      <c r="AD20" s="32">
        <v>2.0840000000000001</v>
      </c>
      <c r="AE20" s="32" t="s">
        <v>26</v>
      </c>
      <c r="AF20" s="58" t="s">
        <v>26</v>
      </c>
    </row>
    <row r="21" spans="1:32">
      <c r="A21" s="28" t="s">
        <v>106</v>
      </c>
      <c r="B21" t="s">
        <v>101</v>
      </c>
      <c r="C21" s="75" t="s">
        <v>97</v>
      </c>
      <c r="D21" s="92">
        <v>186.6</v>
      </c>
      <c r="E21" s="41">
        <v>21.68</v>
      </c>
      <c r="F21" s="41">
        <v>12.14</v>
      </c>
      <c r="G21" s="41">
        <v>88.3</v>
      </c>
      <c r="H21" s="41">
        <v>372.78</v>
      </c>
      <c r="I21" s="41">
        <v>14116.4</v>
      </c>
      <c r="J21" s="41">
        <v>17.739999999999998</v>
      </c>
      <c r="K21" s="41">
        <v>19.899999999999999</v>
      </c>
      <c r="L21" s="41" t="s">
        <v>26</v>
      </c>
      <c r="M21" s="41">
        <v>10.28</v>
      </c>
      <c r="N21" s="61">
        <v>1220.96</v>
      </c>
      <c r="O21" s="41">
        <v>30826.52</v>
      </c>
      <c r="P21" s="41" t="s">
        <v>26</v>
      </c>
      <c r="Q21" s="61">
        <v>2396.96</v>
      </c>
      <c r="R21" s="64">
        <v>0.53500000000000003</v>
      </c>
      <c r="S21" s="32">
        <v>700.23</v>
      </c>
      <c r="T21" s="32">
        <v>3.6989999999999998</v>
      </c>
      <c r="U21" s="32">
        <v>1.7999999999999999E-2</v>
      </c>
      <c r="V21" s="32">
        <v>6.8179999999999996</v>
      </c>
      <c r="W21" s="32">
        <v>0.495</v>
      </c>
      <c r="X21" s="32">
        <v>5.2999999999999999E-2</v>
      </c>
      <c r="Y21" s="32" t="s">
        <v>26</v>
      </c>
      <c r="Z21" s="32">
        <v>8.0000000000000002E-3</v>
      </c>
      <c r="AA21" s="32" t="s">
        <v>26</v>
      </c>
      <c r="AB21" s="32" t="s">
        <v>26</v>
      </c>
      <c r="AC21" s="32">
        <v>4.2999999999999997E-2</v>
      </c>
      <c r="AD21" s="32">
        <v>35.384999999999998</v>
      </c>
      <c r="AE21" s="32" t="s">
        <v>26</v>
      </c>
      <c r="AF21" s="58" t="s">
        <v>26</v>
      </c>
    </row>
    <row r="22" spans="1:32">
      <c r="A22" s="28" t="s">
        <v>107</v>
      </c>
      <c r="B22" t="s">
        <v>101</v>
      </c>
      <c r="C22" s="75" t="s">
        <v>97</v>
      </c>
      <c r="D22" s="92">
        <v>263.98</v>
      </c>
      <c r="E22" s="41">
        <v>39.54</v>
      </c>
      <c r="F22" s="41">
        <v>166.56</v>
      </c>
      <c r="G22" s="41">
        <v>24.86</v>
      </c>
      <c r="H22" s="41">
        <v>335.6</v>
      </c>
      <c r="I22" s="41">
        <v>19276.16</v>
      </c>
      <c r="J22" s="41">
        <v>67.28</v>
      </c>
      <c r="K22" s="41">
        <v>46.7</v>
      </c>
      <c r="L22" s="41">
        <v>257.64</v>
      </c>
      <c r="M22" s="41">
        <v>12.6</v>
      </c>
      <c r="N22" s="61">
        <v>2221.1999999999998</v>
      </c>
      <c r="O22" s="41">
        <v>108209.34</v>
      </c>
      <c r="P22" s="41">
        <v>123.66</v>
      </c>
      <c r="Q22" s="61">
        <v>960.82</v>
      </c>
      <c r="R22" s="64">
        <v>0.59099999999999997</v>
      </c>
      <c r="S22" s="32">
        <v>100.182</v>
      </c>
      <c r="T22" s="32">
        <v>4.0490000000000004</v>
      </c>
      <c r="U22" s="32">
        <v>8.0000000000000002E-3</v>
      </c>
      <c r="V22" s="32">
        <v>2.8530000000000002</v>
      </c>
      <c r="W22" s="32">
        <v>0.40699999999999997</v>
      </c>
      <c r="X22" s="32">
        <v>0.17699999999999999</v>
      </c>
      <c r="Y22" s="32" t="s">
        <v>26</v>
      </c>
      <c r="Z22" s="32">
        <v>4.9000000000000002E-2</v>
      </c>
      <c r="AA22" s="32" t="s">
        <v>26</v>
      </c>
      <c r="AB22" s="32" t="s">
        <v>26</v>
      </c>
      <c r="AC22" s="32">
        <v>3.3000000000000002E-2</v>
      </c>
      <c r="AD22" s="32">
        <v>678.14700000000005</v>
      </c>
      <c r="AE22" s="32" t="s">
        <v>26</v>
      </c>
      <c r="AF22" s="58" t="s">
        <v>26</v>
      </c>
    </row>
    <row r="23" spans="1:32">
      <c r="A23" s="28" t="s">
        <v>108</v>
      </c>
      <c r="B23" t="s">
        <v>101</v>
      </c>
      <c r="C23" s="75" t="s">
        <v>97</v>
      </c>
      <c r="D23" s="92">
        <v>599.62</v>
      </c>
      <c r="E23" s="41">
        <v>48.48</v>
      </c>
      <c r="F23" s="41">
        <v>145.13999999999999</v>
      </c>
      <c r="G23" s="41">
        <v>90.96</v>
      </c>
      <c r="H23" s="41">
        <v>534.9</v>
      </c>
      <c r="I23" s="41">
        <v>18045.599999999999</v>
      </c>
      <c r="J23" s="41">
        <v>62.54</v>
      </c>
      <c r="K23" s="41">
        <v>46.6</v>
      </c>
      <c r="L23" s="41" t="s">
        <v>26</v>
      </c>
      <c r="M23" s="41">
        <v>0.94</v>
      </c>
      <c r="N23" s="61">
        <v>2562</v>
      </c>
      <c r="O23" s="41">
        <v>104179.08</v>
      </c>
      <c r="P23" s="41">
        <v>102.1</v>
      </c>
      <c r="Q23" s="61">
        <v>1554.78</v>
      </c>
      <c r="R23" s="64">
        <v>0.52900000000000003</v>
      </c>
      <c r="S23" s="32">
        <v>240.62200000000001</v>
      </c>
      <c r="T23" s="32">
        <v>4.0359999999999996</v>
      </c>
      <c r="U23" s="32">
        <v>6.0000000000000001E-3</v>
      </c>
      <c r="V23" s="32">
        <v>5.7130000000000001</v>
      </c>
      <c r="W23" s="32">
        <v>0.47199999999999998</v>
      </c>
      <c r="X23" s="32">
        <v>7.2999999999999995E-2</v>
      </c>
      <c r="Y23" s="32" t="s">
        <v>26</v>
      </c>
      <c r="Z23" s="32" t="s">
        <v>26</v>
      </c>
      <c r="AA23" s="32" t="s">
        <v>26</v>
      </c>
      <c r="AB23" s="32" t="s">
        <v>26</v>
      </c>
      <c r="AC23" s="32">
        <v>6.3E-2</v>
      </c>
      <c r="AD23" s="32">
        <v>102.041</v>
      </c>
      <c r="AE23" s="32" t="s">
        <v>26</v>
      </c>
      <c r="AF23" s="58" t="s">
        <v>26</v>
      </c>
    </row>
    <row r="24" spans="1:32">
      <c r="A24" s="28" t="s">
        <v>109</v>
      </c>
      <c r="B24" t="s">
        <v>101</v>
      </c>
      <c r="C24" s="75" t="s">
        <v>97</v>
      </c>
      <c r="D24" s="92">
        <v>249.22</v>
      </c>
      <c r="E24" s="41">
        <v>18.52</v>
      </c>
      <c r="F24" s="41">
        <v>70.92</v>
      </c>
      <c r="G24" s="41">
        <v>14.64</v>
      </c>
      <c r="H24" s="41" t="s">
        <v>26</v>
      </c>
      <c r="I24" s="41">
        <v>15613.36</v>
      </c>
      <c r="J24" s="41">
        <v>68.900000000000006</v>
      </c>
      <c r="K24" s="41">
        <v>34.26</v>
      </c>
      <c r="L24" s="41">
        <v>202.04</v>
      </c>
      <c r="M24" s="41">
        <v>16.48</v>
      </c>
      <c r="N24" s="61">
        <v>1364.46</v>
      </c>
      <c r="O24" s="41">
        <v>53847.56</v>
      </c>
      <c r="P24" s="41">
        <v>41.1</v>
      </c>
      <c r="Q24" s="116">
        <f>802.06*2</f>
        <v>1604.12</v>
      </c>
      <c r="R24" s="64">
        <v>1.079</v>
      </c>
      <c r="S24" s="32">
        <v>62.152999999999999</v>
      </c>
      <c r="T24" s="32">
        <v>3.258</v>
      </c>
      <c r="U24" s="32">
        <v>3.5999999999999997E-2</v>
      </c>
      <c r="V24" s="32">
        <v>1.419</v>
      </c>
      <c r="W24" s="32">
        <v>0.432</v>
      </c>
      <c r="X24" s="32">
        <v>9.0999999999999998E-2</v>
      </c>
      <c r="Y24" s="32" t="s">
        <v>26</v>
      </c>
      <c r="Z24" s="32">
        <v>7.5999999999999998E-2</v>
      </c>
      <c r="AA24" s="32" t="s">
        <v>26</v>
      </c>
      <c r="AB24" s="32" t="s">
        <v>26</v>
      </c>
      <c r="AC24" s="32">
        <v>2.5000000000000001E-2</v>
      </c>
      <c r="AD24" s="32">
        <v>447.10700000000003</v>
      </c>
      <c r="AE24" s="32" t="s">
        <v>26</v>
      </c>
      <c r="AF24" s="58" t="s">
        <v>26</v>
      </c>
    </row>
    <row r="25" spans="1:32">
      <c r="A25" s="45" t="s">
        <v>110</v>
      </c>
      <c r="B25" t="s">
        <v>101</v>
      </c>
      <c r="C25" s="75" t="s">
        <v>97</v>
      </c>
      <c r="D25" s="93">
        <v>684.6</v>
      </c>
      <c r="E25" s="43">
        <v>31.42</v>
      </c>
      <c r="F25" s="43">
        <v>36.26</v>
      </c>
      <c r="G25" s="43">
        <v>54.14</v>
      </c>
      <c r="H25" s="43">
        <v>724.02</v>
      </c>
      <c r="I25" s="43">
        <v>15131</v>
      </c>
      <c r="J25" s="43">
        <v>46.96</v>
      </c>
      <c r="K25" s="43">
        <v>32.880000000000003</v>
      </c>
      <c r="L25" s="43" t="s">
        <v>26</v>
      </c>
      <c r="M25" s="43">
        <v>0.42</v>
      </c>
      <c r="N25" s="62">
        <v>1460.6</v>
      </c>
      <c r="O25" s="43">
        <v>55091.86</v>
      </c>
      <c r="P25" s="43" t="s">
        <v>26</v>
      </c>
      <c r="Q25" s="62">
        <v>2013.86</v>
      </c>
      <c r="R25" s="65">
        <v>0.32200000000000001</v>
      </c>
      <c r="S25" s="48">
        <v>64.271000000000001</v>
      </c>
      <c r="T25" s="48">
        <v>3.464</v>
      </c>
      <c r="U25" s="48">
        <v>1.4E-2</v>
      </c>
      <c r="V25" s="48">
        <v>4.6369999999999996</v>
      </c>
      <c r="W25" s="48">
        <v>0.56699999999999995</v>
      </c>
      <c r="X25" s="48">
        <v>1.2E-2</v>
      </c>
      <c r="Y25" s="48" t="s">
        <v>26</v>
      </c>
      <c r="Z25" s="48">
        <v>7.0000000000000001E-3</v>
      </c>
      <c r="AA25" s="48" t="s">
        <v>26</v>
      </c>
      <c r="AB25" s="48" t="s">
        <v>26</v>
      </c>
      <c r="AC25" s="48">
        <v>4.1000000000000002E-2</v>
      </c>
      <c r="AD25" s="48">
        <v>36.475000000000001</v>
      </c>
      <c r="AE25" s="48" t="s">
        <v>26</v>
      </c>
      <c r="AF25" s="60" t="s">
        <v>26</v>
      </c>
    </row>
    <row r="26" spans="1:32">
      <c r="A26" s="28" t="s">
        <v>102</v>
      </c>
      <c r="B26" s="71"/>
      <c r="C26" s="74" t="s">
        <v>98</v>
      </c>
      <c r="D26" s="24">
        <v>2339.3200000000002</v>
      </c>
      <c r="E26" s="25">
        <v>15.69</v>
      </c>
      <c r="F26" s="36">
        <v>70.25</v>
      </c>
      <c r="G26" s="25">
        <v>2.09</v>
      </c>
      <c r="H26" s="36">
        <v>484.72</v>
      </c>
      <c r="I26" s="36" t="s">
        <v>26</v>
      </c>
      <c r="J26" s="36" t="s">
        <v>26</v>
      </c>
      <c r="K26" s="36">
        <v>15.66</v>
      </c>
      <c r="L26" s="36" t="s">
        <v>26</v>
      </c>
      <c r="M26" s="36" t="s">
        <v>26</v>
      </c>
      <c r="N26" s="49">
        <v>60.83</v>
      </c>
      <c r="O26" s="56">
        <v>47555.74</v>
      </c>
      <c r="P26" s="36">
        <v>197.83</v>
      </c>
      <c r="Q26" s="36">
        <v>94.03</v>
      </c>
      <c r="R26" s="63">
        <v>0.13100000000000001</v>
      </c>
      <c r="S26" s="47">
        <v>0.99</v>
      </c>
      <c r="T26" s="47">
        <v>3.3889999999999998</v>
      </c>
      <c r="U26" s="47" t="s">
        <v>26</v>
      </c>
      <c r="V26" s="47">
        <v>7.4999999999999997E-2</v>
      </c>
      <c r="W26" s="47">
        <v>0.60499999999999998</v>
      </c>
      <c r="X26" s="47" t="s">
        <v>26</v>
      </c>
      <c r="Y26" s="47" t="s">
        <v>26</v>
      </c>
      <c r="Z26" s="47" t="s">
        <v>26</v>
      </c>
      <c r="AA26" s="47" t="s">
        <v>26</v>
      </c>
      <c r="AB26" s="47" t="s">
        <v>26</v>
      </c>
      <c r="AC26" s="47" t="s">
        <v>26</v>
      </c>
      <c r="AD26" s="47" t="s">
        <v>26</v>
      </c>
      <c r="AE26" s="47" t="s">
        <v>26</v>
      </c>
      <c r="AF26" s="57" t="s">
        <v>26</v>
      </c>
    </row>
    <row r="27" spans="1:32">
      <c r="A27" s="28" t="s">
        <v>103</v>
      </c>
      <c r="B27" s="72"/>
      <c r="C27" s="75" t="s">
        <v>98</v>
      </c>
      <c r="D27" s="18">
        <v>3772.02</v>
      </c>
      <c r="E27" s="19">
        <v>33.33</v>
      </c>
      <c r="F27" s="31">
        <v>182.72</v>
      </c>
      <c r="G27" s="19">
        <v>6.29</v>
      </c>
      <c r="H27" s="31">
        <v>1671.54</v>
      </c>
      <c r="I27" s="31" t="s">
        <v>26</v>
      </c>
      <c r="J27" s="31">
        <v>25.25</v>
      </c>
      <c r="K27" s="31">
        <v>39.22</v>
      </c>
      <c r="L27" s="31" t="s">
        <v>26</v>
      </c>
      <c r="M27" s="31" t="s">
        <v>26</v>
      </c>
      <c r="N27" s="50">
        <v>179.88</v>
      </c>
      <c r="O27" s="55">
        <v>111666.95</v>
      </c>
      <c r="P27" s="31">
        <v>470.72</v>
      </c>
      <c r="Q27" s="31">
        <v>162.16</v>
      </c>
      <c r="R27" s="64">
        <v>0.13700000000000001</v>
      </c>
      <c r="S27" s="32">
        <v>1.0649999999999999</v>
      </c>
      <c r="T27" s="32">
        <v>4.3719999999999999</v>
      </c>
      <c r="U27" s="32" t="s">
        <v>26</v>
      </c>
      <c r="V27" s="32">
        <v>3.2000000000000001E-2</v>
      </c>
      <c r="W27" s="32">
        <v>0.73599999999999999</v>
      </c>
      <c r="X27" s="32" t="s">
        <v>26</v>
      </c>
      <c r="Y27" s="32" t="s">
        <v>26</v>
      </c>
      <c r="Z27" s="32" t="s">
        <v>26</v>
      </c>
      <c r="AA27" s="32" t="s">
        <v>26</v>
      </c>
      <c r="AB27" s="32" t="s">
        <v>26</v>
      </c>
      <c r="AC27" s="32" t="s">
        <v>26</v>
      </c>
      <c r="AD27" s="32" t="s">
        <v>26</v>
      </c>
      <c r="AE27" s="32" t="s">
        <v>26</v>
      </c>
      <c r="AF27" s="58" t="s">
        <v>26</v>
      </c>
    </row>
    <row r="28" spans="1:32">
      <c r="A28" s="28" t="s">
        <v>104</v>
      </c>
      <c r="B28" s="72"/>
      <c r="C28" s="75" t="s">
        <v>98</v>
      </c>
      <c r="D28" s="21">
        <v>2978.81</v>
      </c>
      <c r="E28" s="22">
        <v>18.850000000000001</v>
      </c>
      <c r="F28" s="37">
        <v>104.32</v>
      </c>
      <c r="G28" s="22">
        <v>6.15</v>
      </c>
      <c r="H28" s="37">
        <v>615.91</v>
      </c>
      <c r="I28" s="37">
        <v>217.39</v>
      </c>
      <c r="J28" s="37">
        <v>10.98</v>
      </c>
      <c r="K28" s="37">
        <v>26.9</v>
      </c>
      <c r="L28" s="37" t="s">
        <v>26</v>
      </c>
      <c r="M28" s="37" t="s">
        <v>26</v>
      </c>
      <c r="N28" s="51">
        <v>105.79</v>
      </c>
      <c r="O28" s="59">
        <v>63880.58</v>
      </c>
      <c r="P28" s="37">
        <v>2457.09</v>
      </c>
      <c r="Q28" s="37">
        <v>1363.38</v>
      </c>
      <c r="R28" s="65">
        <v>0.188</v>
      </c>
      <c r="S28" s="48">
        <v>1.1559999999999999</v>
      </c>
      <c r="T28" s="48">
        <v>3.9980000000000002</v>
      </c>
      <c r="U28" s="48" t="s">
        <v>26</v>
      </c>
      <c r="V28" s="48">
        <v>0.04</v>
      </c>
      <c r="W28" s="48">
        <v>0.64900000000000002</v>
      </c>
      <c r="X28" s="48" t="s">
        <v>26</v>
      </c>
      <c r="Y28" s="48" t="s">
        <v>26</v>
      </c>
      <c r="Z28" s="48" t="s">
        <v>26</v>
      </c>
      <c r="AA28" s="48" t="s">
        <v>26</v>
      </c>
      <c r="AB28" s="48" t="s">
        <v>26</v>
      </c>
      <c r="AC28" s="48" t="s">
        <v>26</v>
      </c>
      <c r="AD28" s="48" t="s">
        <v>26</v>
      </c>
      <c r="AE28" s="48" t="s">
        <v>26</v>
      </c>
      <c r="AF28" s="60" t="s">
        <v>26</v>
      </c>
    </row>
    <row r="29" spans="1:32">
      <c r="A29" s="44" t="s">
        <v>105</v>
      </c>
      <c r="B29" s="71" t="s">
        <v>100</v>
      </c>
      <c r="C29" s="74" t="s">
        <v>98</v>
      </c>
      <c r="D29" s="19">
        <f>93.95*2</f>
        <v>187.9</v>
      </c>
      <c r="E29" s="19">
        <f>9.19*2</f>
        <v>18.38</v>
      </c>
      <c r="F29" s="31">
        <v>37.4</v>
      </c>
      <c r="G29" s="19">
        <v>9.32</v>
      </c>
      <c r="H29" s="31" t="s">
        <v>26</v>
      </c>
      <c r="I29" s="31">
        <v>13068.24</v>
      </c>
      <c r="J29" s="31">
        <v>38.299999999999997</v>
      </c>
      <c r="K29" s="31">
        <v>21.88</v>
      </c>
      <c r="L29" s="31" t="s">
        <v>26</v>
      </c>
      <c r="M29" s="31">
        <v>8.9</v>
      </c>
      <c r="N29" s="50">
        <v>1089.1199999999999</v>
      </c>
      <c r="O29" s="55">
        <v>33009.199999999997</v>
      </c>
      <c r="P29" s="31" t="s">
        <v>26</v>
      </c>
      <c r="Q29" s="31">
        <v>694.92</v>
      </c>
      <c r="R29" s="64">
        <v>0.55800000000000005</v>
      </c>
      <c r="S29" s="32">
        <v>54.591000000000001</v>
      </c>
      <c r="T29" s="32">
        <v>1.9770000000000001</v>
      </c>
      <c r="U29" s="32">
        <v>1.2999999999999999E-2</v>
      </c>
      <c r="V29" s="32">
        <v>0.33100000000000002</v>
      </c>
      <c r="W29" s="32" t="s">
        <v>26</v>
      </c>
      <c r="X29" s="32">
        <v>0.42199999999999999</v>
      </c>
      <c r="Y29" s="32" t="s">
        <v>26</v>
      </c>
      <c r="Z29" s="32" t="s">
        <v>26</v>
      </c>
      <c r="AA29" s="32" t="s">
        <v>26</v>
      </c>
      <c r="AB29" s="32" t="s">
        <v>26</v>
      </c>
      <c r="AC29" s="32">
        <v>6.0000000000000001E-3</v>
      </c>
      <c r="AD29" s="32">
        <v>3.4580000000000002</v>
      </c>
      <c r="AE29" s="32" t="s">
        <v>26</v>
      </c>
      <c r="AF29" s="58" t="s">
        <v>26</v>
      </c>
    </row>
    <row r="30" spans="1:32">
      <c r="A30" s="28" t="s">
        <v>106</v>
      </c>
      <c r="B30" s="72" t="s">
        <v>100</v>
      </c>
      <c r="C30" s="75" t="s">
        <v>98</v>
      </c>
      <c r="D30" s="19">
        <f>101.77*2</f>
        <v>203.54</v>
      </c>
      <c r="E30" s="19">
        <f>19.51*2</f>
        <v>39.020000000000003</v>
      </c>
      <c r="F30" s="31">
        <v>37.72</v>
      </c>
      <c r="G30" s="19">
        <v>32.76</v>
      </c>
      <c r="H30" s="31">
        <v>363.5</v>
      </c>
      <c r="I30" s="31">
        <v>12775.68</v>
      </c>
      <c r="J30" s="31">
        <v>48.96</v>
      </c>
      <c r="K30" s="31">
        <v>21.44</v>
      </c>
      <c r="L30" s="31" t="s">
        <v>26</v>
      </c>
      <c r="M30" s="31">
        <v>12.28</v>
      </c>
      <c r="N30" s="50">
        <v>1263.3800000000001</v>
      </c>
      <c r="O30" s="55">
        <v>35237.040000000001</v>
      </c>
      <c r="P30" s="31" t="s">
        <v>26</v>
      </c>
      <c r="Q30" s="31">
        <v>876.6</v>
      </c>
      <c r="R30" s="64">
        <v>0.28599999999999998</v>
      </c>
      <c r="S30" s="32">
        <v>285.97199999999998</v>
      </c>
      <c r="T30" s="32">
        <v>3.9729999999999999</v>
      </c>
      <c r="U30" s="32">
        <v>1.0999999999999999E-2</v>
      </c>
      <c r="V30" s="32">
        <v>1.79</v>
      </c>
      <c r="W30" s="32">
        <v>0.61599999999999999</v>
      </c>
      <c r="X30" s="32">
        <v>2.7E-2</v>
      </c>
      <c r="Y30" s="32" t="s">
        <v>26</v>
      </c>
      <c r="Z30" s="32" t="s">
        <v>26</v>
      </c>
      <c r="AA30" s="32" t="s">
        <v>26</v>
      </c>
      <c r="AB30" s="32" t="s">
        <v>26</v>
      </c>
      <c r="AC30" s="32">
        <v>4.2000000000000003E-2</v>
      </c>
      <c r="AD30" s="32">
        <v>8.4179999999999993</v>
      </c>
      <c r="AE30" s="32" t="s">
        <v>26</v>
      </c>
      <c r="AF30" s="58" t="s">
        <v>26</v>
      </c>
    </row>
    <row r="31" spans="1:32">
      <c r="A31" s="28" t="s">
        <v>107</v>
      </c>
      <c r="B31" s="72" t="s">
        <v>100</v>
      </c>
      <c r="C31" s="75" t="s">
        <v>98</v>
      </c>
      <c r="D31" s="19">
        <f>2025.85*2</f>
        <v>4051.7</v>
      </c>
      <c r="E31" s="19">
        <f>23.32*2</f>
        <v>46.64</v>
      </c>
      <c r="F31" s="31">
        <v>197.26</v>
      </c>
      <c r="G31" s="19">
        <v>11.72</v>
      </c>
      <c r="H31" s="31">
        <v>1055.56</v>
      </c>
      <c r="I31" s="31">
        <v>5309.56</v>
      </c>
      <c r="J31" s="31">
        <v>2.06</v>
      </c>
      <c r="K31" s="31">
        <v>51.6</v>
      </c>
      <c r="L31" s="31">
        <v>216.88</v>
      </c>
      <c r="M31" s="31" t="s">
        <v>26</v>
      </c>
      <c r="N31" s="50">
        <v>834.24</v>
      </c>
      <c r="O31" s="55">
        <v>129282.8</v>
      </c>
      <c r="P31" s="31">
        <v>173.88</v>
      </c>
      <c r="Q31" s="31">
        <v>406.02</v>
      </c>
      <c r="R31" s="64">
        <v>0.55700000000000005</v>
      </c>
      <c r="S31" s="32">
        <v>18.338999999999999</v>
      </c>
      <c r="T31" s="32">
        <v>4.1639999999999997</v>
      </c>
      <c r="U31" s="32">
        <v>2.8000000000000001E-2</v>
      </c>
      <c r="V31" s="32">
        <v>4.25</v>
      </c>
      <c r="W31" s="32">
        <v>0.64700000000000002</v>
      </c>
      <c r="X31" s="32">
        <v>2.8000000000000001E-2</v>
      </c>
      <c r="Y31" s="32" t="s">
        <v>26</v>
      </c>
      <c r="Z31" s="32" t="s">
        <v>26</v>
      </c>
      <c r="AA31" s="32" t="s">
        <v>26</v>
      </c>
      <c r="AB31" s="32" t="s">
        <v>26</v>
      </c>
      <c r="AC31" s="32">
        <v>5.0000000000000001E-3</v>
      </c>
      <c r="AD31" s="32">
        <v>702.64099999999996</v>
      </c>
      <c r="AE31" s="32" t="s">
        <v>26</v>
      </c>
      <c r="AF31" s="58" t="s">
        <v>26</v>
      </c>
    </row>
    <row r="32" spans="1:32">
      <c r="A32" s="28" t="s">
        <v>108</v>
      </c>
      <c r="B32" s="72" t="s">
        <v>100</v>
      </c>
      <c r="C32" s="75" t="s">
        <v>98</v>
      </c>
      <c r="D32" s="19">
        <f>1238.76*2</f>
        <v>2477.52</v>
      </c>
      <c r="E32" s="19">
        <f>25.58*2</f>
        <v>51.16</v>
      </c>
      <c r="F32" s="31">
        <v>166.94</v>
      </c>
      <c r="G32" s="19">
        <v>39.299999999999997</v>
      </c>
      <c r="H32" s="31">
        <v>516.32000000000005</v>
      </c>
      <c r="I32" s="31">
        <v>13537.18</v>
      </c>
      <c r="J32" s="31">
        <v>65.66</v>
      </c>
      <c r="K32" s="31">
        <v>50.62</v>
      </c>
      <c r="L32" s="31">
        <v>57.3</v>
      </c>
      <c r="M32" s="31">
        <v>11.16</v>
      </c>
      <c r="N32" s="50">
        <v>1731.18</v>
      </c>
      <c r="O32" s="55">
        <v>117155.24</v>
      </c>
      <c r="P32" s="31">
        <v>144.02000000000001</v>
      </c>
      <c r="Q32" s="31">
        <v>428.4</v>
      </c>
      <c r="R32" s="64">
        <v>0.191</v>
      </c>
      <c r="S32" s="32">
        <v>62.268000000000001</v>
      </c>
      <c r="T32" s="32">
        <v>4.6849999999999996</v>
      </c>
      <c r="U32" s="32">
        <v>0.01</v>
      </c>
      <c r="V32" s="32">
        <v>4.9960000000000004</v>
      </c>
      <c r="W32" s="32">
        <v>0.71699999999999997</v>
      </c>
      <c r="X32" s="32">
        <v>2.8000000000000001E-2</v>
      </c>
      <c r="Y32" s="32" t="s">
        <v>26</v>
      </c>
      <c r="Z32" s="32" t="s">
        <v>26</v>
      </c>
      <c r="AA32" s="32" t="s">
        <v>26</v>
      </c>
      <c r="AB32" s="32" t="s">
        <v>26</v>
      </c>
      <c r="AC32" s="32">
        <v>3.4000000000000002E-2</v>
      </c>
      <c r="AD32" s="32">
        <v>272.995</v>
      </c>
      <c r="AE32" s="32" t="s">
        <v>26</v>
      </c>
      <c r="AF32" s="58" t="s">
        <v>26</v>
      </c>
    </row>
    <row r="33" spans="1:32">
      <c r="A33" s="28" t="s">
        <v>109</v>
      </c>
      <c r="B33" s="72" t="s">
        <v>100</v>
      </c>
      <c r="C33" s="75" t="s">
        <v>98</v>
      </c>
      <c r="D33" s="19">
        <f>165.61*2</f>
        <v>331.22</v>
      </c>
      <c r="E33" s="19">
        <f>13.87*2</f>
        <v>27.74</v>
      </c>
      <c r="F33" s="31">
        <v>70.16</v>
      </c>
      <c r="G33" s="19">
        <v>33.64</v>
      </c>
      <c r="H33" s="31">
        <v>306.88</v>
      </c>
      <c r="I33" s="31">
        <v>14809.28</v>
      </c>
      <c r="J33" s="31">
        <v>65.28</v>
      </c>
      <c r="K33" s="31">
        <v>33.94</v>
      </c>
      <c r="L33" s="31">
        <v>441.42</v>
      </c>
      <c r="M33" s="31">
        <v>11.7</v>
      </c>
      <c r="N33" s="50">
        <v>1257</v>
      </c>
      <c r="O33" s="55">
        <v>56241.46</v>
      </c>
      <c r="P33" s="31">
        <v>50.48</v>
      </c>
      <c r="Q33" s="31">
        <v>1537.18</v>
      </c>
      <c r="R33" s="64">
        <v>1.34</v>
      </c>
      <c r="S33" s="32">
        <v>46.11</v>
      </c>
      <c r="T33" s="32">
        <v>3.8010000000000002</v>
      </c>
      <c r="U33" s="32">
        <v>3.9E-2</v>
      </c>
      <c r="V33" s="32">
        <v>3.4609999999999999</v>
      </c>
      <c r="W33" s="32">
        <v>0.55600000000000005</v>
      </c>
      <c r="X33" s="32">
        <v>7.4999999999999997E-2</v>
      </c>
      <c r="Y33" s="32" t="s">
        <v>26</v>
      </c>
      <c r="Z33" s="32" t="s">
        <v>26</v>
      </c>
      <c r="AA33" s="32" t="s">
        <v>26</v>
      </c>
      <c r="AB33" s="32" t="s">
        <v>26</v>
      </c>
      <c r="AC33" s="32">
        <v>1.2E-2</v>
      </c>
      <c r="AD33" s="31">
        <v>825.58100000000002</v>
      </c>
      <c r="AE33" s="32" t="s">
        <v>26</v>
      </c>
      <c r="AF33" s="58" t="s">
        <v>26</v>
      </c>
    </row>
    <row r="34" spans="1:32">
      <c r="A34" s="45" t="s">
        <v>110</v>
      </c>
      <c r="B34" s="73" t="s">
        <v>100</v>
      </c>
      <c r="C34" s="76" t="s">
        <v>98</v>
      </c>
      <c r="D34" s="22">
        <f>938.3*2</f>
        <v>1876.6</v>
      </c>
      <c r="E34" s="22">
        <f>14.3*2</f>
        <v>28.6</v>
      </c>
      <c r="F34" s="37">
        <v>60.5</v>
      </c>
      <c r="G34" s="22">
        <v>44.06</v>
      </c>
      <c r="H34" s="37">
        <v>749.62</v>
      </c>
      <c r="I34" s="37">
        <v>12340.88</v>
      </c>
      <c r="J34" s="37">
        <v>56.14</v>
      </c>
      <c r="K34" s="37">
        <v>32.200000000000003</v>
      </c>
      <c r="L34" s="37">
        <v>48.44</v>
      </c>
      <c r="M34" s="37">
        <v>15.96</v>
      </c>
      <c r="N34" s="51">
        <v>849.18</v>
      </c>
      <c r="O34" s="59">
        <v>56142.68</v>
      </c>
      <c r="P34" s="37">
        <v>42.6</v>
      </c>
      <c r="Q34" s="37">
        <v>1486.3</v>
      </c>
      <c r="R34" s="65">
        <v>0.20499999999999999</v>
      </c>
      <c r="S34" s="48">
        <v>54.753</v>
      </c>
      <c r="T34" s="48">
        <v>4.2</v>
      </c>
      <c r="U34" s="48">
        <v>1.7999999999999999E-2</v>
      </c>
      <c r="V34" s="48">
        <v>3.984</v>
      </c>
      <c r="W34" s="48">
        <v>0.64300000000000002</v>
      </c>
      <c r="X34" s="48" t="s">
        <v>26</v>
      </c>
      <c r="Y34" s="48" t="s">
        <v>26</v>
      </c>
      <c r="Z34" s="48" t="s">
        <v>26</v>
      </c>
      <c r="AA34" s="48" t="s">
        <v>26</v>
      </c>
      <c r="AB34" s="48" t="s">
        <v>26</v>
      </c>
      <c r="AC34" s="48">
        <v>2.1999999999999999E-2</v>
      </c>
      <c r="AD34" s="48">
        <v>126.01900000000001</v>
      </c>
      <c r="AE34" s="48" t="s">
        <v>26</v>
      </c>
      <c r="AF34" s="60" t="s">
        <v>26</v>
      </c>
    </row>
    <row r="35" spans="1:32">
      <c r="A35" s="28" t="s">
        <v>105</v>
      </c>
      <c r="B35" t="s">
        <v>101</v>
      </c>
      <c r="C35" s="75" t="s">
        <v>98</v>
      </c>
      <c r="D35" s="26">
        <v>153.04</v>
      </c>
      <c r="E35" s="26">
        <v>12.02</v>
      </c>
      <c r="F35" s="47">
        <v>31.5</v>
      </c>
      <c r="G35" s="26">
        <v>20.68</v>
      </c>
      <c r="H35" s="47" t="s">
        <v>26</v>
      </c>
      <c r="I35" s="47">
        <v>14200.68</v>
      </c>
      <c r="J35" s="47">
        <v>56.52</v>
      </c>
      <c r="K35" s="47">
        <v>20.98</v>
      </c>
      <c r="L35" s="47" t="s">
        <v>26</v>
      </c>
      <c r="M35" s="47">
        <v>20.7</v>
      </c>
      <c r="N35" s="47">
        <v>1111.0999999999999</v>
      </c>
      <c r="O35" s="63">
        <v>31969.82</v>
      </c>
      <c r="P35" s="47">
        <v>18.559999999999999</v>
      </c>
      <c r="Q35" s="47">
        <v>1362.96</v>
      </c>
      <c r="R35" s="63">
        <v>0.42799999999999999</v>
      </c>
      <c r="S35" s="47">
        <v>86.733000000000004</v>
      </c>
      <c r="T35" s="47">
        <v>1.887</v>
      </c>
      <c r="U35" s="47">
        <v>1.2E-2</v>
      </c>
      <c r="V35" s="47">
        <v>0.155</v>
      </c>
      <c r="W35" s="47">
        <v>1.4999999999999999E-2</v>
      </c>
      <c r="X35" s="47">
        <v>0.41099999999999998</v>
      </c>
      <c r="Y35" s="47" t="s">
        <v>26</v>
      </c>
      <c r="Z35" s="47">
        <v>3.7999999999999999E-2</v>
      </c>
      <c r="AA35" s="47" t="s">
        <v>26</v>
      </c>
      <c r="AB35" s="47" t="s">
        <v>26</v>
      </c>
      <c r="AC35" s="47" t="s">
        <v>26</v>
      </c>
      <c r="AD35" s="47">
        <v>5.0350000000000001</v>
      </c>
      <c r="AE35" s="47" t="s">
        <v>26</v>
      </c>
      <c r="AF35" s="57" t="s">
        <v>26</v>
      </c>
    </row>
    <row r="36" spans="1:32">
      <c r="A36" s="28" t="s">
        <v>106</v>
      </c>
      <c r="B36" t="s">
        <v>101</v>
      </c>
      <c r="C36" s="75" t="s">
        <v>98</v>
      </c>
      <c r="D36" s="20">
        <v>122.76</v>
      </c>
      <c r="E36" s="20">
        <v>17.66</v>
      </c>
      <c r="F36" s="32">
        <v>20.079999999999998</v>
      </c>
      <c r="G36" s="20">
        <v>78.84</v>
      </c>
      <c r="H36" s="32">
        <v>232.14</v>
      </c>
      <c r="I36" s="32">
        <v>14139.3</v>
      </c>
      <c r="J36" s="32">
        <v>0.32</v>
      </c>
      <c r="K36" s="32">
        <v>15.76</v>
      </c>
      <c r="L36" s="32" t="s">
        <v>26</v>
      </c>
      <c r="M36" s="32">
        <v>12.62</v>
      </c>
      <c r="N36" s="32">
        <v>1205.5</v>
      </c>
      <c r="O36" s="64">
        <v>28797.72</v>
      </c>
      <c r="P36" s="32">
        <v>183.78</v>
      </c>
      <c r="Q36" s="32">
        <v>2562.84</v>
      </c>
      <c r="R36" s="64">
        <v>0.48299999999999998</v>
      </c>
      <c r="S36" s="32">
        <v>642.13699999999994</v>
      </c>
      <c r="T36" s="32">
        <v>3.7280000000000002</v>
      </c>
      <c r="U36" s="32">
        <v>1.2E-2</v>
      </c>
      <c r="V36" s="32">
        <v>6.2439999999999998</v>
      </c>
      <c r="W36" s="32">
        <v>0.433</v>
      </c>
      <c r="X36" s="32">
        <v>3.5000000000000003E-2</v>
      </c>
      <c r="Y36" s="32" t="s">
        <v>26</v>
      </c>
      <c r="Z36" s="32">
        <v>8.0000000000000002E-3</v>
      </c>
      <c r="AA36" s="32" t="s">
        <v>26</v>
      </c>
      <c r="AB36" s="32" t="s">
        <v>26</v>
      </c>
      <c r="AC36" s="32">
        <v>4.2000000000000003E-2</v>
      </c>
      <c r="AD36" s="32">
        <v>47.64</v>
      </c>
      <c r="AE36" s="32" t="s">
        <v>26</v>
      </c>
      <c r="AF36" s="58" t="s">
        <v>26</v>
      </c>
    </row>
    <row r="37" spans="1:32">
      <c r="A37" s="28" t="s">
        <v>107</v>
      </c>
      <c r="B37" t="s">
        <v>101</v>
      </c>
      <c r="C37" s="75" t="s">
        <v>98</v>
      </c>
      <c r="D37" s="20">
        <v>245.74</v>
      </c>
      <c r="E37" s="20">
        <v>39.86</v>
      </c>
      <c r="F37" s="32">
        <v>153.54</v>
      </c>
      <c r="G37" s="20">
        <v>20.78</v>
      </c>
      <c r="H37" s="32">
        <v>451.48</v>
      </c>
      <c r="I37" s="32">
        <v>17469.240000000002</v>
      </c>
      <c r="J37" s="32">
        <v>38.159999999999997</v>
      </c>
      <c r="K37" s="32">
        <v>45.22</v>
      </c>
      <c r="L37" s="32">
        <v>417.08</v>
      </c>
      <c r="M37" s="32" t="s">
        <v>26</v>
      </c>
      <c r="N37" s="32">
        <v>1908.42</v>
      </c>
      <c r="O37" s="64">
        <v>96544.88</v>
      </c>
      <c r="P37" s="32">
        <v>117.06</v>
      </c>
      <c r="Q37" s="32">
        <v>602.82000000000005</v>
      </c>
      <c r="R37" s="64">
        <v>0.47399999999999998</v>
      </c>
      <c r="S37" s="32">
        <v>66.641999999999996</v>
      </c>
      <c r="T37" s="32">
        <v>4.5789999999999997</v>
      </c>
      <c r="U37" s="32">
        <v>5.0000000000000001E-3</v>
      </c>
      <c r="V37" s="32">
        <v>2.0329999999999999</v>
      </c>
      <c r="W37" s="32">
        <v>0.46899999999999997</v>
      </c>
      <c r="X37" s="32">
        <v>0.11</v>
      </c>
      <c r="Y37" s="32" t="s">
        <v>26</v>
      </c>
      <c r="Z37" s="32">
        <v>0.04</v>
      </c>
      <c r="AA37" s="32" t="s">
        <v>26</v>
      </c>
      <c r="AB37" s="32" t="s">
        <v>26</v>
      </c>
      <c r="AC37" s="32">
        <v>4.1000000000000002E-2</v>
      </c>
      <c r="AD37" s="32">
        <v>1080.0319999999999</v>
      </c>
      <c r="AE37" s="32" t="s">
        <v>26</v>
      </c>
      <c r="AF37" s="58" t="s">
        <v>26</v>
      </c>
    </row>
    <row r="38" spans="1:32">
      <c r="A38" s="28" t="s">
        <v>108</v>
      </c>
      <c r="B38" t="s">
        <v>101</v>
      </c>
      <c r="C38" s="75" t="s">
        <v>98</v>
      </c>
      <c r="D38" s="20">
        <v>576.88</v>
      </c>
      <c r="E38" s="20">
        <v>33.700000000000003</v>
      </c>
      <c r="F38" s="32">
        <v>122.92</v>
      </c>
      <c r="G38" s="20">
        <v>60.12</v>
      </c>
      <c r="H38" s="20">
        <v>368.5</v>
      </c>
      <c r="I38" s="20">
        <v>15065.94</v>
      </c>
      <c r="J38" s="20">
        <v>35.36</v>
      </c>
      <c r="K38" s="32" t="s">
        <v>26</v>
      </c>
      <c r="L38" s="32" t="s">
        <v>26</v>
      </c>
      <c r="M38" s="32" t="s">
        <v>26</v>
      </c>
      <c r="N38" s="32">
        <v>2215.48</v>
      </c>
      <c r="O38" s="64">
        <v>84711.679999999993</v>
      </c>
      <c r="P38" s="32" t="s">
        <v>26</v>
      </c>
      <c r="Q38" s="32">
        <v>1238.1400000000001</v>
      </c>
      <c r="R38" s="64">
        <v>0.41899999999999998</v>
      </c>
      <c r="S38" s="32">
        <v>147</v>
      </c>
      <c r="T38" s="32">
        <v>4.4349999999999996</v>
      </c>
      <c r="U38" s="32">
        <v>6.0000000000000001E-3</v>
      </c>
      <c r="V38" s="32">
        <v>3.3149999999999999</v>
      </c>
      <c r="W38" s="32">
        <v>0.48899999999999999</v>
      </c>
      <c r="X38" s="32">
        <v>6.8000000000000005E-2</v>
      </c>
      <c r="Y38" s="32" t="s">
        <v>26</v>
      </c>
      <c r="Z38" s="32">
        <v>1.0999999999999999E-2</v>
      </c>
      <c r="AA38" s="32" t="s">
        <v>26</v>
      </c>
      <c r="AB38" s="32" t="s">
        <v>26</v>
      </c>
      <c r="AC38" s="32">
        <v>5.3999999999999999E-2</v>
      </c>
      <c r="AD38" s="32">
        <v>58.569000000000003</v>
      </c>
      <c r="AE38" s="32" t="s">
        <v>26</v>
      </c>
      <c r="AF38" s="58" t="s">
        <v>26</v>
      </c>
    </row>
    <row r="39" spans="1:32">
      <c r="A39" s="28" t="s">
        <v>109</v>
      </c>
      <c r="B39" t="s">
        <v>101</v>
      </c>
      <c r="C39" s="75" t="s">
        <v>98</v>
      </c>
      <c r="D39" s="20">
        <v>197.78</v>
      </c>
      <c r="E39" s="20">
        <v>22.42</v>
      </c>
      <c r="F39" s="32">
        <v>62.48</v>
      </c>
      <c r="G39" s="20">
        <v>13.72</v>
      </c>
      <c r="H39" s="20">
        <v>315.92</v>
      </c>
      <c r="I39" s="20">
        <v>15422.64</v>
      </c>
      <c r="J39" s="20">
        <v>56.14</v>
      </c>
      <c r="K39" s="32">
        <v>30.9</v>
      </c>
      <c r="L39" s="32">
        <v>351.62</v>
      </c>
      <c r="M39" s="32" t="s">
        <v>26</v>
      </c>
      <c r="N39" s="32">
        <v>1283.8800000000001</v>
      </c>
      <c r="O39" s="64">
        <v>51937.72</v>
      </c>
      <c r="P39" s="32">
        <v>41.64</v>
      </c>
      <c r="Q39" s="32">
        <v>1604.62</v>
      </c>
      <c r="R39" s="64">
        <v>1.044</v>
      </c>
      <c r="S39" s="32">
        <v>57.133000000000003</v>
      </c>
      <c r="T39" s="32">
        <v>3.8319999999999999</v>
      </c>
      <c r="U39" s="32">
        <v>2.1999999999999999E-2</v>
      </c>
      <c r="V39" s="32">
        <v>1.93</v>
      </c>
      <c r="W39" s="32">
        <v>0.4</v>
      </c>
      <c r="X39" s="32">
        <v>0.10299999999999999</v>
      </c>
      <c r="Y39" s="32" t="s">
        <v>26</v>
      </c>
      <c r="Z39" s="32">
        <v>4.9000000000000002E-2</v>
      </c>
      <c r="AA39" s="32" t="s">
        <v>26</v>
      </c>
      <c r="AB39" s="32" t="s">
        <v>26</v>
      </c>
      <c r="AC39" s="32">
        <v>1.7999999999999999E-2</v>
      </c>
      <c r="AD39" s="32">
        <v>586.18100000000004</v>
      </c>
      <c r="AE39" s="32" t="s">
        <v>26</v>
      </c>
      <c r="AF39" s="58" t="s">
        <v>26</v>
      </c>
    </row>
    <row r="40" spans="1:32">
      <c r="A40" s="45" t="s">
        <v>110</v>
      </c>
      <c r="B40" t="s">
        <v>101</v>
      </c>
      <c r="C40" s="75" t="s">
        <v>98</v>
      </c>
      <c r="D40" s="32">
        <v>499.44</v>
      </c>
      <c r="E40" s="32">
        <v>23.74</v>
      </c>
      <c r="F40" s="32">
        <v>37.299999999999997</v>
      </c>
      <c r="G40" s="32">
        <v>64.040000000000006</v>
      </c>
      <c r="H40" s="32">
        <v>586.52</v>
      </c>
      <c r="I40" s="32">
        <v>15824.3</v>
      </c>
      <c r="J40" s="20">
        <v>54.58</v>
      </c>
      <c r="K40" s="32">
        <v>31.58</v>
      </c>
      <c r="L40" s="32" t="s">
        <v>26</v>
      </c>
      <c r="M40" s="32">
        <v>13.74</v>
      </c>
      <c r="N40" s="32">
        <v>1476.86</v>
      </c>
      <c r="O40" s="65">
        <v>51700.1</v>
      </c>
      <c r="P40" s="48">
        <v>16.88</v>
      </c>
      <c r="Q40" s="48">
        <v>2218.34</v>
      </c>
      <c r="R40" s="65">
        <v>0.44400000000000001</v>
      </c>
      <c r="S40" s="48">
        <v>71.478999999999999</v>
      </c>
      <c r="T40" s="48">
        <v>4.5979999999999999</v>
      </c>
      <c r="U40" s="48">
        <v>2.1999999999999999E-2</v>
      </c>
      <c r="V40" s="48">
        <v>9.8390000000000004</v>
      </c>
      <c r="W40" s="48">
        <v>0.59099999999999997</v>
      </c>
      <c r="X40" s="48">
        <v>1.2E-2</v>
      </c>
      <c r="Y40" s="48" t="s">
        <v>26</v>
      </c>
      <c r="Z40" s="48">
        <v>8.0000000000000002E-3</v>
      </c>
      <c r="AA40" s="48" t="s">
        <v>26</v>
      </c>
      <c r="AB40" s="48" t="s">
        <v>26</v>
      </c>
      <c r="AC40" s="48">
        <v>6.0999999999999999E-2</v>
      </c>
      <c r="AD40" s="48">
        <v>81.412000000000006</v>
      </c>
      <c r="AE40" s="48" t="s">
        <v>26</v>
      </c>
      <c r="AF40" s="60" t="s">
        <v>26</v>
      </c>
    </row>
    <row r="41" spans="1:32">
      <c r="A41" s="68" t="s">
        <v>53</v>
      </c>
      <c r="B41" s="71"/>
      <c r="C41" s="74"/>
      <c r="D41" s="36">
        <f>85.67*100</f>
        <v>8567</v>
      </c>
      <c r="E41" s="36" t="s">
        <v>26</v>
      </c>
      <c r="F41" s="36">
        <f>0.83*100</f>
        <v>83</v>
      </c>
      <c r="G41" s="36" t="s">
        <v>26</v>
      </c>
      <c r="H41" s="36" t="s">
        <v>26</v>
      </c>
      <c r="I41" s="36" t="s">
        <v>26</v>
      </c>
      <c r="J41" s="36" t="s">
        <v>26</v>
      </c>
      <c r="K41" s="36" t="s">
        <v>26</v>
      </c>
      <c r="L41" s="36" t="s">
        <v>26</v>
      </c>
      <c r="M41" s="36" t="s">
        <v>26</v>
      </c>
      <c r="N41" s="49" t="s">
        <v>26</v>
      </c>
      <c r="O41" s="55">
        <f>526.98*100</f>
        <v>52698</v>
      </c>
      <c r="P41" s="31">
        <f>14.25*100</f>
        <v>1425</v>
      </c>
      <c r="Q41" s="50">
        <f>18.51*100</f>
        <v>1851.0000000000002</v>
      </c>
      <c r="R41" s="66"/>
      <c r="S41" s="66"/>
      <c r="T41" s="66"/>
      <c r="U41" s="66"/>
      <c r="V41" s="66"/>
      <c r="W41" s="66"/>
      <c r="X41" s="66"/>
      <c r="Y41" s="66"/>
      <c r="Z41" s="66"/>
      <c r="AA41" s="66"/>
      <c r="AB41" s="66"/>
      <c r="AC41" s="66"/>
      <c r="AD41" s="66"/>
      <c r="AE41" s="66"/>
      <c r="AF41" s="66"/>
    </row>
    <row r="42" spans="1:32">
      <c r="A42" s="69" t="s">
        <v>54</v>
      </c>
      <c r="B42" s="72"/>
      <c r="C42" s="75"/>
      <c r="D42" s="31">
        <f>221.53*100</f>
        <v>22153</v>
      </c>
      <c r="E42" s="31">
        <f>2.56*100</f>
        <v>256</v>
      </c>
      <c r="F42" s="31">
        <f>8.09*100</f>
        <v>809</v>
      </c>
      <c r="G42" s="31" t="s">
        <v>26</v>
      </c>
      <c r="H42" s="31">
        <f>59.79*100</f>
        <v>5979</v>
      </c>
      <c r="I42" s="31" t="s">
        <v>26</v>
      </c>
      <c r="J42" s="31">
        <f>9.93*100</f>
        <v>993</v>
      </c>
      <c r="K42" s="31">
        <f>1.69*100</f>
        <v>169</v>
      </c>
      <c r="L42" s="31" t="s">
        <v>26</v>
      </c>
      <c r="M42" s="31" t="s">
        <v>26</v>
      </c>
      <c r="N42" s="50" t="s">
        <v>26</v>
      </c>
      <c r="O42" s="55">
        <f>5353.2*100</f>
        <v>535320</v>
      </c>
      <c r="P42" s="31">
        <f>18.96*100</f>
        <v>1896</v>
      </c>
      <c r="Q42" s="50">
        <f>15.2*100</f>
        <v>1520</v>
      </c>
      <c r="R42" s="66"/>
      <c r="S42" s="66"/>
      <c r="T42" s="66"/>
      <c r="U42" s="66"/>
      <c r="V42" s="66"/>
      <c r="W42" s="66"/>
      <c r="X42" s="66"/>
      <c r="Y42" s="66"/>
      <c r="Z42" s="66"/>
      <c r="AA42" s="66"/>
      <c r="AB42" s="66"/>
      <c r="AC42" s="66"/>
      <c r="AD42" s="66"/>
      <c r="AE42" s="66"/>
      <c r="AF42" s="66"/>
    </row>
    <row r="43" spans="1:32">
      <c r="A43" s="70" t="s">
        <v>52</v>
      </c>
      <c r="B43" s="73"/>
      <c r="C43" s="76"/>
      <c r="D43" s="37">
        <f>138.74*100</f>
        <v>13874</v>
      </c>
      <c r="E43" s="37" t="s">
        <v>26</v>
      </c>
      <c r="F43" s="37">
        <f>4.14*100</f>
        <v>413.99999999999994</v>
      </c>
      <c r="G43" s="37" t="s">
        <v>26</v>
      </c>
      <c r="H43" s="37" t="s">
        <v>26</v>
      </c>
      <c r="I43" s="37">
        <f>46.36*100</f>
        <v>4636</v>
      </c>
      <c r="J43" s="37" t="s">
        <v>26</v>
      </c>
      <c r="K43" s="37">
        <f>0.89*100</f>
        <v>89</v>
      </c>
      <c r="L43" s="37" t="s">
        <v>26</v>
      </c>
      <c r="M43" s="37" t="s">
        <v>26</v>
      </c>
      <c r="N43" s="51" t="s">
        <v>26</v>
      </c>
      <c r="O43" s="59">
        <f>2328.11*100</f>
        <v>232811</v>
      </c>
      <c r="P43" s="37">
        <f>211.75*100</f>
        <v>21175</v>
      </c>
      <c r="Q43" s="51">
        <f>119.83*100</f>
        <v>11983</v>
      </c>
      <c r="R43" s="66"/>
      <c r="S43" s="66"/>
      <c r="T43" s="66"/>
      <c r="U43" s="66"/>
      <c r="V43" s="66"/>
      <c r="W43" s="66"/>
      <c r="X43" s="66"/>
      <c r="Y43" s="66"/>
      <c r="Z43" s="66"/>
      <c r="AA43" s="66"/>
      <c r="AB43" s="66"/>
      <c r="AC43" s="66"/>
      <c r="AD43" s="66"/>
      <c r="AE43" s="66"/>
      <c r="AF43" s="66"/>
    </row>
    <row r="44" spans="1:32">
      <c r="A44" s="66"/>
      <c r="D44" s="67"/>
      <c r="E44" s="66"/>
      <c r="F44" s="66"/>
      <c r="G44" s="66"/>
      <c r="H44" s="66"/>
      <c r="I44" s="67"/>
      <c r="J44" s="66"/>
      <c r="K44" s="66"/>
      <c r="L44" s="66"/>
      <c r="M44" s="66"/>
      <c r="N44" s="66"/>
      <c r="O44" s="67"/>
      <c r="P44" s="67"/>
      <c r="Q44" s="67"/>
      <c r="R44" s="66"/>
      <c r="S44" s="66"/>
      <c r="T44" s="66"/>
      <c r="U44" s="66"/>
      <c r="AD44" s="66"/>
      <c r="AE44" s="66"/>
      <c r="AF44" s="66"/>
    </row>
    <row r="45" spans="1:32">
      <c r="A45" s="66"/>
      <c r="D45" s="67"/>
      <c r="E45" s="66"/>
      <c r="F45" s="66"/>
      <c r="G45" s="66"/>
      <c r="H45" s="66"/>
      <c r="I45" s="67"/>
      <c r="J45" s="66"/>
      <c r="K45" s="66"/>
      <c r="L45" s="66"/>
      <c r="M45" s="66"/>
      <c r="N45" s="2"/>
      <c r="O45" s="2"/>
      <c r="P45" s="2"/>
      <c r="Q45" s="2"/>
      <c r="R45" s="2"/>
      <c r="S45" s="2"/>
      <c r="T45" s="2"/>
      <c r="U45" s="66"/>
      <c r="V45" s="2"/>
      <c r="W45" s="2"/>
      <c r="X45" s="2"/>
      <c r="Y45" s="2"/>
      <c r="Z45" s="2"/>
      <c r="AA45" s="2"/>
      <c r="AB45" s="2"/>
      <c r="AC45" s="66"/>
      <c r="AE45" s="66"/>
      <c r="AF45" s="66"/>
    </row>
    <row r="46" spans="1:32">
      <c r="A46" s="79" t="s">
        <v>55</v>
      </c>
      <c r="B46" s="139" t="s">
        <v>126</v>
      </c>
      <c r="C46" s="139" t="s">
        <v>114</v>
      </c>
      <c r="D46" s="140" t="s">
        <v>129</v>
      </c>
      <c r="E46" s="139" t="s">
        <v>121</v>
      </c>
      <c r="F46" s="139" t="s">
        <v>122</v>
      </c>
      <c r="G46" s="139" t="s">
        <v>123</v>
      </c>
      <c r="H46" s="96" t="s">
        <v>0</v>
      </c>
      <c r="I46" s="96" t="s">
        <v>1</v>
      </c>
      <c r="J46" s="96" t="s">
        <v>4</v>
      </c>
      <c r="K46" s="96" t="s">
        <v>12</v>
      </c>
      <c r="N46" s="2"/>
      <c r="O46" s="2"/>
      <c r="P46" s="2"/>
      <c r="Q46" s="2"/>
      <c r="R46" s="2"/>
      <c r="S46" s="2"/>
      <c r="T46" s="2"/>
      <c r="V46" s="2"/>
      <c r="W46" s="2"/>
      <c r="X46" s="2"/>
      <c r="Y46" s="2"/>
      <c r="Z46" s="2"/>
      <c r="AA46" s="2"/>
      <c r="AB46" s="2"/>
      <c r="AC46" s="66"/>
      <c r="AE46" s="66"/>
      <c r="AF46" s="66"/>
    </row>
    <row r="47" spans="1:32">
      <c r="A47" s="142" t="s">
        <v>102</v>
      </c>
      <c r="B47" s="89">
        <v>2339.3200000000002</v>
      </c>
      <c r="C47" s="89" t="s">
        <v>26</v>
      </c>
      <c r="D47" s="89">
        <v>60.83</v>
      </c>
      <c r="E47" s="89">
        <v>47555.74</v>
      </c>
      <c r="F47" s="89">
        <v>197.83</v>
      </c>
      <c r="G47" s="89">
        <v>94.03</v>
      </c>
      <c r="H47" s="141">
        <v>0.13100000000000001</v>
      </c>
      <c r="I47" s="141">
        <v>0.99</v>
      </c>
      <c r="J47" s="141">
        <v>7.4999999999999997E-2</v>
      </c>
      <c r="K47" s="141" t="s">
        <v>26</v>
      </c>
      <c r="N47" s="2"/>
      <c r="O47" s="2"/>
      <c r="P47" s="2"/>
      <c r="Q47" s="2"/>
      <c r="R47" s="2"/>
      <c r="S47" s="2"/>
      <c r="T47" s="2"/>
      <c r="V47" s="2"/>
      <c r="W47" s="2"/>
      <c r="X47" s="2"/>
      <c r="Y47" s="2"/>
      <c r="Z47" s="2"/>
      <c r="AA47" s="2"/>
      <c r="AB47" s="2"/>
      <c r="AC47" s="54"/>
    </row>
    <row r="48" spans="1:32">
      <c r="A48" s="142" t="s">
        <v>103</v>
      </c>
      <c r="B48" s="89">
        <v>3772.02</v>
      </c>
      <c r="C48" s="89" t="s">
        <v>26</v>
      </c>
      <c r="D48" s="89">
        <v>179.88</v>
      </c>
      <c r="E48" s="89">
        <v>111666.95</v>
      </c>
      <c r="F48" s="89">
        <v>470.72</v>
      </c>
      <c r="G48" s="89">
        <v>162.16</v>
      </c>
      <c r="H48" s="141">
        <v>0.13700000000000001</v>
      </c>
      <c r="I48" s="141">
        <v>1.0649999999999999</v>
      </c>
      <c r="J48" s="141">
        <v>3.2000000000000001E-2</v>
      </c>
      <c r="K48" s="141" t="s">
        <v>26</v>
      </c>
      <c r="N48" s="2"/>
      <c r="O48" s="2"/>
      <c r="P48" s="2"/>
      <c r="Q48" s="2"/>
      <c r="R48" s="2"/>
      <c r="S48" s="2"/>
      <c r="T48" s="2"/>
      <c r="V48" s="2"/>
      <c r="W48" s="2"/>
      <c r="X48" s="2"/>
      <c r="Y48" s="2"/>
      <c r="Z48" s="2"/>
      <c r="AA48" s="2"/>
      <c r="AB48" s="2"/>
    </row>
    <row r="49" spans="1:32">
      <c r="A49" s="142" t="s">
        <v>104</v>
      </c>
      <c r="B49" s="89">
        <v>2978.81</v>
      </c>
      <c r="C49" s="89">
        <v>217.39</v>
      </c>
      <c r="D49" s="89">
        <v>105.79</v>
      </c>
      <c r="E49" s="89">
        <v>63880.58</v>
      </c>
      <c r="F49" s="89">
        <v>2457.09</v>
      </c>
      <c r="G49" s="89">
        <v>1363.38</v>
      </c>
      <c r="H49" s="141">
        <v>0.188</v>
      </c>
      <c r="I49" s="141">
        <v>1.1559999999999999</v>
      </c>
      <c r="J49" s="141">
        <v>0.04</v>
      </c>
      <c r="K49" s="141" t="s">
        <v>26</v>
      </c>
      <c r="N49" s="2"/>
      <c r="O49" s="2"/>
      <c r="P49" s="2"/>
      <c r="Q49" s="2"/>
      <c r="R49" s="2"/>
      <c r="S49" s="2"/>
      <c r="T49" s="2"/>
      <c r="V49" s="2"/>
      <c r="W49" s="2"/>
      <c r="X49" s="2"/>
      <c r="Y49" s="2"/>
      <c r="Z49" s="2"/>
      <c r="AA49" s="2"/>
      <c r="AB49" s="2"/>
      <c r="AE49" s="66"/>
      <c r="AF49" s="66"/>
    </row>
    <row r="50" spans="1:32">
      <c r="A50" s="142" t="s">
        <v>53</v>
      </c>
      <c r="B50" s="89">
        <f>85.67*100</f>
        <v>8567</v>
      </c>
      <c r="C50" s="89" t="s">
        <v>26</v>
      </c>
      <c r="D50" s="89" t="s">
        <v>26</v>
      </c>
      <c r="E50" s="89">
        <f>526.98*100</f>
        <v>52698</v>
      </c>
      <c r="F50" s="89">
        <f>14.25*100</f>
        <v>1425</v>
      </c>
      <c r="G50" s="89">
        <f>18.51*100</f>
        <v>1851.0000000000002</v>
      </c>
      <c r="H50" s="67"/>
      <c r="I50" s="66"/>
      <c r="J50" s="66"/>
      <c r="K50" s="66"/>
      <c r="N50" s="2"/>
      <c r="O50" s="2"/>
      <c r="P50" s="2"/>
      <c r="Q50" s="2"/>
      <c r="R50" s="2"/>
      <c r="S50" s="2"/>
      <c r="T50" s="2"/>
      <c r="V50" s="2"/>
      <c r="W50" s="2"/>
      <c r="X50" s="2"/>
      <c r="Y50" s="2"/>
      <c r="Z50" s="2"/>
      <c r="AA50" s="2"/>
      <c r="AB50" s="2"/>
      <c r="AC50" s="32"/>
      <c r="AE50" s="66"/>
      <c r="AF50" s="66"/>
    </row>
    <row r="51" spans="1:32">
      <c r="A51" s="142" t="s">
        <v>54</v>
      </c>
      <c r="B51" s="89">
        <f>221.53*100</f>
        <v>22153</v>
      </c>
      <c r="C51" s="89" t="s">
        <v>26</v>
      </c>
      <c r="D51" s="89" t="s">
        <v>26</v>
      </c>
      <c r="E51" s="89">
        <f>5353.2*100</f>
        <v>535320</v>
      </c>
      <c r="F51" s="89">
        <f>18.96*100</f>
        <v>1896</v>
      </c>
      <c r="G51" s="89">
        <f>15.2*100</f>
        <v>1520</v>
      </c>
      <c r="H51" s="67"/>
      <c r="I51" s="66"/>
      <c r="J51" s="66"/>
      <c r="K51" s="66"/>
      <c r="AE51" s="66"/>
      <c r="AF51" s="66"/>
    </row>
    <row r="52" spans="1:32">
      <c r="A52" s="142" t="s">
        <v>52</v>
      </c>
      <c r="B52" s="89">
        <f>138.74*100</f>
        <v>13874</v>
      </c>
      <c r="C52" s="89">
        <f>46.36*100</f>
        <v>4636</v>
      </c>
      <c r="D52" s="89" t="s">
        <v>26</v>
      </c>
      <c r="E52" s="89">
        <f>2328.11*100</f>
        <v>232811</v>
      </c>
      <c r="F52" s="89">
        <f>211.75*100</f>
        <v>21175</v>
      </c>
      <c r="G52" s="89">
        <f>119.83*100</f>
        <v>11983</v>
      </c>
      <c r="H52" s="67"/>
      <c r="I52" s="66"/>
      <c r="J52" s="66"/>
      <c r="K52" s="66"/>
      <c r="V52" s="66"/>
      <c r="W52" s="66"/>
      <c r="X52" s="66"/>
      <c r="Y52" s="66"/>
      <c r="Z52" s="66"/>
      <c r="AA52" s="66"/>
      <c r="AB52" s="66"/>
      <c r="AC52" s="66"/>
      <c r="AD52" s="66"/>
      <c r="AE52" s="66"/>
      <c r="AF52" s="66"/>
    </row>
    <row r="53" spans="1:32">
      <c r="B53" s="14"/>
      <c r="C53" s="14"/>
      <c r="D53" s="66"/>
      <c r="E53" s="67"/>
      <c r="F53" s="67"/>
      <c r="G53" s="67"/>
      <c r="H53" s="66"/>
      <c r="I53" s="66"/>
      <c r="J53" s="66"/>
      <c r="K53" s="66"/>
      <c r="V53" s="66"/>
      <c r="W53" s="66"/>
      <c r="X53" s="66"/>
      <c r="Y53" s="66"/>
      <c r="Z53" s="66"/>
      <c r="AA53" s="66"/>
      <c r="AB53" s="66"/>
      <c r="AC53" s="66"/>
      <c r="AD53" s="66"/>
      <c r="AE53" s="66"/>
      <c r="AF53" s="66"/>
    </row>
    <row r="54" spans="1:32">
      <c r="E54" s="14"/>
      <c r="G54" s="66"/>
      <c r="H54" s="66"/>
      <c r="I54" s="66"/>
      <c r="J54" s="66"/>
      <c r="K54" s="67"/>
      <c r="L54" s="67"/>
      <c r="M54" s="67"/>
      <c r="R54" s="66"/>
      <c r="S54" s="66"/>
      <c r="T54" s="66"/>
      <c r="U54" s="66"/>
      <c r="V54" s="66"/>
      <c r="W54" s="66"/>
      <c r="X54" s="66"/>
      <c r="Y54" s="66"/>
      <c r="Z54" s="66"/>
      <c r="AA54" s="66"/>
      <c r="AB54" s="66"/>
      <c r="AC54" s="66"/>
      <c r="AD54" s="66"/>
      <c r="AE54" s="66"/>
      <c r="AF54" s="66"/>
    </row>
    <row r="55" spans="1:32">
      <c r="K55" s="66"/>
      <c r="L55" s="66"/>
      <c r="M55" s="66"/>
      <c r="N55" s="66"/>
      <c r="O55" s="67"/>
      <c r="P55" s="67"/>
      <c r="Q55" s="67"/>
      <c r="R55" s="66"/>
      <c r="S55" s="66"/>
      <c r="T55" s="66"/>
      <c r="U55" s="66"/>
      <c r="V55" s="66"/>
      <c r="W55" s="66"/>
      <c r="X55" s="66"/>
      <c r="Y55" s="66"/>
      <c r="Z55" s="66"/>
      <c r="AA55" s="66"/>
      <c r="AB55" s="66"/>
      <c r="AC55" s="66"/>
      <c r="AD55" s="66"/>
      <c r="AE55" s="66"/>
      <c r="AF55" s="66"/>
    </row>
    <row r="56" spans="1:32">
      <c r="K56" s="66"/>
      <c r="L56" s="66"/>
      <c r="M56" s="66"/>
      <c r="N56" s="66"/>
      <c r="O56" s="67"/>
      <c r="P56" s="67"/>
      <c r="Q56" s="67"/>
      <c r="R56" s="66"/>
      <c r="S56" s="66"/>
      <c r="T56" s="66"/>
      <c r="U56" s="66"/>
      <c r="V56" s="66"/>
      <c r="W56" s="66"/>
      <c r="X56" s="66"/>
      <c r="Y56" s="66"/>
      <c r="Z56" s="66"/>
      <c r="AA56" s="66"/>
      <c r="AB56" s="66"/>
      <c r="AC56" s="66"/>
      <c r="AD56" s="66"/>
      <c r="AE56" s="66"/>
      <c r="AF56" s="66"/>
    </row>
    <row r="57" spans="1:32">
      <c r="K57" s="66"/>
      <c r="L57" s="66"/>
      <c r="M57" s="66"/>
      <c r="N57" s="66"/>
      <c r="O57" s="67"/>
      <c r="P57" s="67"/>
      <c r="Q57" s="67"/>
      <c r="R57" s="66"/>
      <c r="S57" s="66"/>
      <c r="T57" s="66"/>
      <c r="U57" s="66"/>
      <c r="V57" s="66"/>
      <c r="W57" s="66"/>
      <c r="X57" s="66"/>
      <c r="Y57" s="66"/>
      <c r="Z57" s="66"/>
      <c r="AA57" s="66"/>
      <c r="AB57" s="66"/>
      <c r="AC57" s="66"/>
      <c r="AD57" s="66"/>
      <c r="AE57" s="66"/>
      <c r="AF57" s="66"/>
    </row>
    <row r="58" spans="1:32">
      <c r="K58" s="66"/>
      <c r="L58" s="66"/>
      <c r="M58" s="66"/>
      <c r="N58" s="66"/>
      <c r="O58" s="67"/>
      <c r="P58" s="67"/>
      <c r="Q58" s="67"/>
      <c r="R58" s="66"/>
      <c r="S58" s="66"/>
      <c r="T58" s="66"/>
      <c r="U58" s="66"/>
      <c r="V58" s="66"/>
      <c r="W58" s="66"/>
      <c r="X58" s="66"/>
      <c r="Y58" s="66"/>
      <c r="Z58" s="66"/>
      <c r="AA58" s="66"/>
      <c r="AB58" s="66"/>
      <c r="AC58" s="66"/>
      <c r="AD58" s="66"/>
      <c r="AE58" s="66"/>
      <c r="AF58" s="66"/>
    </row>
    <row r="59" spans="1:32">
      <c r="K59" s="66"/>
      <c r="L59" s="66"/>
      <c r="M59" s="66"/>
      <c r="N59" s="66"/>
      <c r="O59" s="67"/>
      <c r="P59" s="67"/>
      <c r="Q59" s="67"/>
      <c r="R59" s="66"/>
      <c r="S59" s="66"/>
      <c r="T59" s="66"/>
      <c r="U59" s="66"/>
      <c r="V59" s="66"/>
      <c r="W59" s="66"/>
      <c r="X59" s="66"/>
      <c r="Y59" s="66"/>
      <c r="Z59" s="66"/>
      <c r="AA59" s="66"/>
      <c r="AB59" s="66"/>
      <c r="AC59" s="66"/>
      <c r="AD59" s="66"/>
      <c r="AE59" s="66"/>
      <c r="AF59" s="66"/>
    </row>
    <row r="60" spans="1:32">
      <c r="K60" s="66"/>
      <c r="L60" s="66"/>
      <c r="M60" s="66"/>
      <c r="N60" s="66"/>
      <c r="O60" s="67"/>
      <c r="P60" s="67"/>
      <c r="Q60" s="67"/>
      <c r="R60" s="66"/>
      <c r="S60" s="66"/>
      <c r="T60" s="66"/>
      <c r="U60" s="66"/>
      <c r="V60" s="66"/>
      <c r="W60" s="66"/>
      <c r="X60" s="66"/>
      <c r="Y60" s="66"/>
      <c r="Z60" s="66"/>
      <c r="AA60" s="66"/>
      <c r="AB60" s="66"/>
      <c r="AC60" s="66"/>
      <c r="AD60" s="66"/>
      <c r="AE60" s="66"/>
      <c r="AF60" s="66"/>
    </row>
    <row r="61" spans="1:32">
      <c r="K61" s="66"/>
      <c r="L61" s="66"/>
      <c r="M61" s="66"/>
      <c r="N61" s="66"/>
      <c r="O61" s="67"/>
      <c r="P61" s="67"/>
      <c r="Q61" s="67"/>
      <c r="R61" s="66"/>
      <c r="S61" s="66"/>
      <c r="T61" s="66"/>
      <c r="U61" s="66"/>
      <c r="V61" s="66"/>
      <c r="W61" s="66"/>
      <c r="X61" s="66"/>
      <c r="Y61" s="66"/>
      <c r="Z61" s="66"/>
      <c r="AA61" s="66"/>
      <c r="AB61" s="66"/>
      <c r="AC61" s="66"/>
      <c r="AD61" s="66"/>
      <c r="AE61" s="66"/>
      <c r="AF61" s="66"/>
    </row>
    <row r="62" spans="1:32">
      <c r="K62" s="66"/>
      <c r="L62" s="66"/>
      <c r="M62" s="66"/>
      <c r="N62" s="66"/>
      <c r="O62" s="67"/>
      <c r="P62" s="67"/>
      <c r="Q62" s="67"/>
      <c r="R62" s="66"/>
      <c r="S62" s="66"/>
      <c r="T62" s="66"/>
      <c r="U62" s="66"/>
      <c r="V62" s="66"/>
      <c r="W62" s="66"/>
      <c r="X62" s="66"/>
      <c r="Y62" s="66"/>
      <c r="Z62" s="66"/>
      <c r="AA62" s="66"/>
      <c r="AB62" s="66"/>
      <c r="AC62" s="66"/>
      <c r="AD62" s="66"/>
      <c r="AE62" s="66"/>
      <c r="AF62" s="66"/>
    </row>
    <row r="63" spans="1:32">
      <c r="K63" s="66"/>
      <c r="L63" s="66"/>
      <c r="M63" s="66"/>
      <c r="N63" s="66"/>
      <c r="O63" s="67"/>
      <c r="P63" s="67"/>
      <c r="Q63" s="67"/>
      <c r="R63" s="66"/>
      <c r="S63" s="66"/>
      <c r="T63" s="66"/>
      <c r="U63" s="66"/>
      <c r="V63" s="66"/>
      <c r="W63" s="66"/>
      <c r="X63" s="66"/>
      <c r="Y63" s="66"/>
      <c r="Z63" s="66"/>
      <c r="AA63" s="66"/>
      <c r="AB63" s="66"/>
      <c r="AC63" s="66"/>
      <c r="AD63" s="66"/>
      <c r="AE63" s="66"/>
      <c r="AF63" s="66"/>
    </row>
    <row r="64" spans="1:32">
      <c r="K64" s="66"/>
      <c r="L64" s="66"/>
      <c r="M64" s="66"/>
      <c r="N64" s="66"/>
      <c r="O64" s="67"/>
      <c r="P64" s="67"/>
      <c r="Q64" s="67"/>
      <c r="R64" s="66"/>
      <c r="S64" s="66"/>
      <c r="T64" s="66"/>
      <c r="U64" s="66"/>
      <c r="V64" s="66"/>
      <c r="W64" s="66"/>
      <c r="X64" s="66"/>
      <c r="Y64" s="66"/>
      <c r="Z64" s="66"/>
      <c r="AA64" s="66"/>
      <c r="AB64" s="66"/>
      <c r="AC64" s="66"/>
      <c r="AD64" s="66"/>
      <c r="AE64" s="66"/>
      <c r="AF64" s="66"/>
    </row>
  </sheetData>
  <pageMargins left="0.7" right="0.7" top="0.75" bottom="0.75" header="0.3" footer="0.3"/>
  <pageSetup paperSize="9" orientation="portrait" horizontalDpi="4294967293" verticalDpi="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BQ653"/>
  <sheetViews>
    <sheetView tabSelected="1" topLeftCell="O1" zoomScale="80" zoomScaleNormal="80" workbookViewId="0">
      <selection activeCell="Y28" sqref="Y28"/>
    </sheetView>
  </sheetViews>
  <sheetFormatPr defaultRowHeight="14.4"/>
  <cols>
    <col min="1" max="1" width="18.77734375" customWidth="1"/>
    <col min="4" max="4" width="10.5546875" style="128" customWidth="1"/>
    <col min="5" max="5" width="11.6640625" style="128" customWidth="1"/>
    <col min="6" max="6" width="10.33203125" style="128" customWidth="1"/>
    <col min="7" max="7" width="10.44140625" style="128" bestFit="1" customWidth="1"/>
    <col min="8" max="9" width="9.33203125" style="128" bestFit="1" customWidth="1"/>
    <col min="10" max="13" width="8.88671875" style="128"/>
    <col min="14" max="14" width="16.109375" style="14" customWidth="1"/>
    <col min="15" max="15" width="12.109375" customWidth="1"/>
    <col min="16" max="16" width="13.88671875" style="86" customWidth="1"/>
    <col min="17" max="17" width="9.44140625" style="85" bestFit="1" customWidth="1"/>
    <col min="18" max="18" width="10.5546875" style="103" bestFit="1" customWidth="1"/>
    <col min="19" max="21" width="10.44140625" style="103" bestFit="1" customWidth="1"/>
    <col min="22" max="22" width="9.33203125" style="17" bestFit="1" customWidth="1"/>
    <col min="24" max="24" width="19.5546875" style="7" customWidth="1"/>
    <col min="25" max="25" width="15.44140625" style="78" customWidth="1"/>
    <col min="26" max="26" width="16.5546875" style="78" customWidth="1"/>
    <col min="27" max="28" width="10.44140625" style="78" bestFit="1" customWidth="1"/>
    <col min="29" max="29" width="14.5546875" style="78" customWidth="1"/>
    <col min="30" max="30" width="7.77734375" style="78" customWidth="1"/>
    <col min="31" max="31" width="9.33203125" style="78" hidden="1" customWidth="1"/>
    <col min="32" max="32" width="0" style="7" hidden="1" customWidth="1"/>
    <col min="33" max="33" width="21" style="7" customWidth="1"/>
    <col min="34" max="34" width="13.44140625" style="7" customWidth="1"/>
    <col min="35" max="41" width="8.88671875" style="7"/>
  </cols>
  <sheetData>
    <row r="1" spans="1:69">
      <c r="O1" s="66"/>
      <c r="P1" s="174"/>
      <c r="Q1" s="184"/>
      <c r="R1" s="101"/>
      <c r="S1" s="101"/>
      <c r="T1" s="101"/>
      <c r="U1" s="101"/>
      <c r="V1" s="82"/>
      <c r="Y1" s="54"/>
      <c r="Z1" s="54"/>
      <c r="AA1" s="54"/>
      <c r="AB1" s="54"/>
      <c r="AC1" s="54"/>
    </row>
    <row r="2" spans="1:69">
      <c r="A2" s="79" t="s">
        <v>55</v>
      </c>
      <c r="B2" s="80" t="s">
        <v>99</v>
      </c>
      <c r="C2" s="80" t="s">
        <v>95</v>
      </c>
      <c r="D2" s="129" t="s">
        <v>126</v>
      </c>
      <c r="E2" s="130" t="s">
        <v>114</v>
      </c>
      <c r="F2" s="131" t="s">
        <v>119</v>
      </c>
      <c r="G2" s="129" t="s">
        <v>121</v>
      </c>
      <c r="H2" s="130" t="s">
        <v>122</v>
      </c>
      <c r="I2" s="131" t="s">
        <v>123</v>
      </c>
      <c r="J2" s="132" t="s">
        <v>0</v>
      </c>
      <c r="K2" s="133" t="s">
        <v>1</v>
      </c>
      <c r="L2" s="133" t="s">
        <v>4</v>
      </c>
      <c r="M2" s="134" t="s">
        <v>12</v>
      </c>
      <c r="N2" s="96" t="s">
        <v>86</v>
      </c>
      <c r="O2" s="54"/>
      <c r="P2" s="175"/>
      <c r="Q2" s="180"/>
      <c r="R2" s="102"/>
      <c r="S2" s="101"/>
      <c r="U2" s="101"/>
      <c r="X2" s="13"/>
      <c r="Y2" s="283"/>
      <c r="Z2" s="283"/>
      <c r="AA2" s="283"/>
      <c r="AB2" s="283"/>
      <c r="AC2" s="283"/>
      <c r="AD2" s="283"/>
      <c r="AE2" s="283"/>
      <c r="AF2" s="284"/>
      <c r="AG2" s="284"/>
      <c r="AH2" s="284"/>
      <c r="AI2" s="284"/>
      <c r="AJ2" s="284"/>
      <c r="AK2" s="160"/>
      <c r="AL2" s="285"/>
      <c r="AM2" s="285"/>
      <c r="AN2" s="285"/>
      <c r="AO2" s="285"/>
      <c r="AP2" s="102"/>
      <c r="AQ2" s="102"/>
      <c r="AR2" s="102"/>
      <c r="AS2" s="102"/>
      <c r="AT2" s="102"/>
      <c r="AU2" s="102"/>
      <c r="AV2" s="138"/>
      <c r="AW2" s="138"/>
      <c r="AX2" s="138"/>
      <c r="AY2" s="138"/>
      <c r="AZ2" s="284"/>
      <c r="BA2" s="284"/>
      <c r="BB2" s="284"/>
      <c r="BC2" s="284"/>
      <c r="BD2" s="284"/>
      <c r="BE2" s="284"/>
      <c r="BF2" s="284"/>
      <c r="BG2" s="284"/>
      <c r="BH2" s="284"/>
      <c r="BI2" s="284"/>
      <c r="BJ2" s="284"/>
      <c r="BK2" s="284"/>
      <c r="BL2" s="284"/>
      <c r="BM2" s="284"/>
      <c r="BN2" s="284"/>
      <c r="BO2" s="284"/>
      <c r="BP2" s="284"/>
      <c r="BQ2" s="284"/>
    </row>
    <row r="3" spans="1:69" ht="24.6" customHeight="1">
      <c r="A3" s="28" t="s">
        <v>102</v>
      </c>
      <c r="B3" s="75" t="s">
        <v>100</v>
      </c>
      <c r="C3" s="75" t="s">
        <v>98</v>
      </c>
      <c r="D3" s="113">
        <v>2339.3200000000002</v>
      </c>
      <c r="E3" s="113" t="s">
        <v>26</v>
      </c>
      <c r="F3" s="113">
        <v>60.83</v>
      </c>
      <c r="G3" s="111">
        <v>47555.74</v>
      </c>
      <c r="H3" s="112">
        <v>197.83</v>
      </c>
      <c r="I3" s="115">
        <v>94.03</v>
      </c>
      <c r="J3" s="63">
        <v>0.13100000000000001</v>
      </c>
      <c r="K3" s="47">
        <v>0.99</v>
      </c>
      <c r="L3" s="47">
        <v>7.4999999999999997E-2</v>
      </c>
      <c r="M3" s="57" t="s">
        <v>26</v>
      </c>
      <c r="N3" s="97">
        <f>(G3/1000000)*100</f>
        <v>4.7555740000000002</v>
      </c>
      <c r="O3" s="88" t="s">
        <v>121</v>
      </c>
      <c r="P3" s="83" t="s">
        <v>55</v>
      </c>
      <c r="Q3" s="88" t="s">
        <v>99</v>
      </c>
      <c r="R3" s="104" t="s">
        <v>96</v>
      </c>
      <c r="S3" s="105" t="s">
        <v>97</v>
      </c>
      <c r="T3" s="104" t="s">
        <v>98</v>
      </c>
      <c r="U3" s="106" t="s">
        <v>127</v>
      </c>
      <c r="V3" s="100" t="s">
        <v>128</v>
      </c>
      <c r="X3" s="286" t="s">
        <v>130</v>
      </c>
      <c r="Y3" s="286"/>
      <c r="Z3" s="286"/>
      <c r="AA3" s="286"/>
      <c r="AB3" s="284"/>
      <c r="AC3" s="285"/>
      <c r="AD3" s="284"/>
      <c r="AE3" s="283"/>
      <c r="AF3" s="284"/>
      <c r="AG3" s="284"/>
      <c r="AH3" s="284"/>
      <c r="AI3" s="284"/>
      <c r="AJ3" s="284"/>
      <c r="AK3" s="77"/>
      <c r="AL3" s="284"/>
      <c r="AM3" s="284"/>
      <c r="AN3" s="284"/>
      <c r="AO3" s="284"/>
      <c r="AP3" s="31"/>
      <c r="AQ3" s="31"/>
      <c r="AR3" s="31"/>
      <c r="AS3" s="113"/>
      <c r="AT3" s="31"/>
      <c r="AU3" s="31"/>
      <c r="AV3" s="31"/>
      <c r="AW3" s="31"/>
      <c r="AX3" s="31"/>
      <c r="AY3" s="31"/>
      <c r="AZ3" s="284"/>
      <c r="BA3" s="285"/>
      <c r="BB3" s="284"/>
      <c r="BC3" s="284"/>
      <c r="BD3" s="284"/>
      <c r="BE3" s="284"/>
      <c r="BF3" s="284"/>
      <c r="BG3" s="284"/>
      <c r="BH3" s="284"/>
      <c r="BI3" s="284"/>
      <c r="BJ3" s="284"/>
      <c r="BK3" s="284"/>
      <c r="BL3" s="284"/>
      <c r="BM3" s="284"/>
      <c r="BN3" s="284"/>
      <c r="BO3" s="284"/>
      <c r="BP3" s="284"/>
      <c r="BQ3" s="284"/>
    </row>
    <row r="4" spans="1:69">
      <c r="A4" s="28" t="s">
        <v>103</v>
      </c>
      <c r="B4" s="75" t="s">
        <v>100</v>
      </c>
      <c r="C4" s="75" t="s">
        <v>98</v>
      </c>
      <c r="D4" s="113">
        <v>3772.02</v>
      </c>
      <c r="E4" s="113" t="s">
        <v>26</v>
      </c>
      <c r="F4" s="113">
        <v>179.88</v>
      </c>
      <c r="G4" s="107">
        <v>111666.95</v>
      </c>
      <c r="H4" s="113">
        <v>470.72</v>
      </c>
      <c r="I4" s="116">
        <v>162.16</v>
      </c>
      <c r="J4" s="64">
        <v>0.13700000000000001</v>
      </c>
      <c r="K4" s="32">
        <v>1.0649999999999999</v>
      </c>
      <c r="L4" s="32">
        <v>3.2000000000000001E-2</v>
      </c>
      <c r="M4" s="58" t="s">
        <v>26</v>
      </c>
      <c r="N4" s="97">
        <f>(G4/1000000)*100</f>
        <v>11.166695000000001</v>
      </c>
      <c r="O4" s="31"/>
      <c r="P4" s="46" t="s">
        <v>105</v>
      </c>
      <c r="Q4" s="162" t="s">
        <v>100</v>
      </c>
      <c r="R4" s="107">
        <v>34815.120000000003</v>
      </c>
      <c r="S4" s="108">
        <v>34217.279999999999</v>
      </c>
      <c r="T4" s="108">
        <v>33009.199999999997</v>
      </c>
      <c r="U4" s="113">
        <f>AVERAGE(R4:T4)</f>
        <v>34013.866666666661</v>
      </c>
      <c r="V4" s="166">
        <f>STDEV(R4:T4)</f>
        <v>919.98342361897289</v>
      </c>
      <c r="W4" s="128"/>
      <c r="X4" s="287">
        <f>AVERAGE(R4:T5)</f>
        <v>34515.746666666666</v>
      </c>
      <c r="Y4" s="290" t="s">
        <v>53</v>
      </c>
      <c r="Z4" s="160"/>
      <c r="AA4" s="160"/>
      <c r="AB4" s="285"/>
      <c r="AC4" s="278"/>
      <c r="AD4" s="284"/>
      <c r="AE4" s="283"/>
      <c r="AF4" s="284"/>
      <c r="AG4" s="284"/>
      <c r="AH4" s="284"/>
      <c r="AI4" s="284"/>
      <c r="AJ4" s="284"/>
      <c r="AK4" s="77"/>
      <c r="AL4" s="284"/>
      <c r="AM4" s="284"/>
      <c r="AN4" s="284"/>
      <c r="AO4" s="284"/>
      <c r="AP4" s="31"/>
      <c r="AQ4" s="31"/>
      <c r="AR4" s="31"/>
      <c r="AS4" s="113"/>
      <c r="AT4" s="31"/>
      <c r="AU4" s="31"/>
      <c r="AV4" s="31"/>
      <c r="AW4" s="31"/>
      <c r="AX4" s="31"/>
      <c r="AY4" s="31"/>
      <c r="AZ4" s="284"/>
      <c r="BA4" s="284"/>
      <c r="BB4" s="284"/>
      <c r="BC4" s="284"/>
      <c r="BD4" s="284"/>
      <c r="BE4" s="284"/>
      <c r="BF4" s="284"/>
      <c r="BG4" s="284"/>
      <c r="BH4" s="284"/>
      <c r="BI4" s="284"/>
      <c r="BJ4" s="284"/>
      <c r="BK4" s="284"/>
      <c r="BL4" s="284"/>
      <c r="BM4" s="284"/>
      <c r="BN4" s="284"/>
      <c r="BO4" s="284"/>
      <c r="BP4" s="284"/>
      <c r="BQ4" s="284"/>
    </row>
    <row r="5" spans="1:69">
      <c r="A5" s="69" t="s">
        <v>104</v>
      </c>
      <c r="B5" s="95" t="s">
        <v>100</v>
      </c>
      <c r="C5" s="75" t="s">
        <v>98</v>
      </c>
      <c r="D5" s="113">
        <v>2978.81</v>
      </c>
      <c r="E5" s="113">
        <v>217.39</v>
      </c>
      <c r="F5" s="113">
        <v>105.79</v>
      </c>
      <c r="G5" s="107">
        <v>63880.58</v>
      </c>
      <c r="H5" s="113">
        <v>2457.09</v>
      </c>
      <c r="I5" s="116">
        <v>1363.38</v>
      </c>
      <c r="J5" s="64">
        <v>0.188</v>
      </c>
      <c r="K5" s="32">
        <v>1.1559999999999999</v>
      </c>
      <c r="L5" s="32">
        <v>0.04</v>
      </c>
      <c r="M5" s="58" t="s">
        <v>26</v>
      </c>
      <c r="N5" s="98">
        <f>(G5/1000000)*100</f>
        <v>6.3880580000000009</v>
      </c>
      <c r="O5" s="31"/>
      <c r="P5" s="146" t="s">
        <v>106</v>
      </c>
      <c r="Q5" s="162" t="s">
        <v>100</v>
      </c>
      <c r="R5" s="107">
        <v>36201.78</v>
      </c>
      <c r="S5" s="108">
        <v>33614.06</v>
      </c>
      <c r="T5" s="108">
        <v>35237.040000000001</v>
      </c>
      <c r="U5" s="113">
        <f t="shared" ref="U5:U15" si="0">AVERAGE(R5:T5)</f>
        <v>35017.626666666671</v>
      </c>
      <c r="V5" s="168">
        <f t="shared" ref="V5:V15" si="1">STDEV(R5:T5)</f>
        <v>1307.7386427467115</v>
      </c>
      <c r="X5" s="287"/>
      <c r="Y5" s="291"/>
      <c r="Z5" s="113"/>
      <c r="AA5" s="113"/>
      <c r="AB5" s="287"/>
      <c r="AC5" s="277"/>
      <c r="AD5" s="284"/>
      <c r="AE5" s="288"/>
      <c r="AF5" s="288"/>
      <c r="AG5" s="284"/>
      <c r="AH5" s="284"/>
      <c r="AI5" s="284"/>
      <c r="AJ5" s="284"/>
      <c r="AK5" s="77"/>
      <c r="AL5" s="284"/>
      <c r="AM5" s="284"/>
      <c r="AN5" s="284"/>
      <c r="AO5" s="284"/>
      <c r="AP5" s="31"/>
      <c r="AQ5" s="31"/>
      <c r="AR5" s="31"/>
      <c r="AS5" s="113"/>
      <c r="AT5" s="31"/>
      <c r="AU5" s="31"/>
      <c r="AV5" s="31"/>
      <c r="AW5" s="31"/>
      <c r="AX5" s="32"/>
      <c r="AY5" s="31"/>
      <c r="AZ5" s="284"/>
      <c r="BA5" s="284"/>
      <c r="BB5" s="284"/>
      <c r="BC5" s="284"/>
      <c r="BD5" s="284"/>
      <c r="BE5" s="284"/>
      <c r="BF5" s="284"/>
      <c r="BG5" s="284"/>
      <c r="BH5" s="284"/>
      <c r="BI5" s="284"/>
      <c r="BJ5" s="284"/>
      <c r="BK5" s="284"/>
      <c r="BL5" s="284"/>
      <c r="BM5" s="284"/>
      <c r="BN5" s="284"/>
      <c r="BO5" s="284"/>
      <c r="BP5" s="284"/>
      <c r="BQ5" s="284"/>
    </row>
    <row r="6" spans="1:69">
      <c r="A6" s="68" t="s">
        <v>105</v>
      </c>
      <c r="B6" s="157" t="s">
        <v>100</v>
      </c>
      <c r="C6" s="71" t="s">
        <v>96</v>
      </c>
      <c r="D6" s="111">
        <v>79.8</v>
      </c>
      <c r="E6" s="112">
        <v>13370.54</v>
      </c>
      <c r="F6" s="112">
        <v>1252.56</v>
      </c>
      <c r="G6" s="111">
        <v>34815.120000000003</v>
      </c>
      <c r="H6" s="112">
        <v>31.88</v>
      </c>
      <c r="I6" s="115">
        <v>474.85</v>
      </c>
      <c r="J6" s="56">
        <v>0.58099999999999996</v>
      </c>
      <c r="K6" s="36">
        <v>56.494999999999997</v>
      </c>
      <c r="L6" s="36">
        <v>0.38900000000000001</v>
      </c>
      <c r="M6" s="49">
        <v>7.2450000000000001</v>
      </c>
      <c r="O6" s="31"/>
      <c r="P6" s="146" t="s">
        <v>107</v>
      </c>
      <c r="Q6" s="162" t="s">
        <v>100</v>
      </c>
      <c r="R6" s="107">
        <v>107599.49</v>
      </c>
      <c r="S6" s="108">
        <v>106677.09</v>
      </c>
      <c r="T6" s="108" t="s">
        <v>26</v>
      </c>
      <c r="U6" s="113">
        <f>AVERAGE(R6,S6)</f>
        <v>107138.29000000001</v>
      </c>
      <c r="V6" s="168">
        <f>STDEV(R6:S6)</f>
        <v>652.23529496436595</v>
      </c>
      <c r="W6" s="176"/>
      <c r="X6" s="287">
        <f>AVERAGE(R6:T7)</f>
        <v>110439.70800000001</v>
      </c>
      <c r="Y6" s="291" t="s">
        <v>54</v>
      </c>
      <c r="Z6" s="113"/>
      <c r="AA6" s="113"/>
      <c r="AB6" s="287"/>
      <c r="AC6" s="277"/>
      <c r="AD6" s="284"/>
      <c r="AE6" s="288"/>
      <c r="AF6" s="288"/>
      <c r="AG6" s="284"/>
      <c r="AH6" s="284"/>
      <c r="AI6" s="284"/>
      <c r="AJ6" s="284"/>
      <c r="AK6" s="77"/>
      <c r="AL6" s="284"/>
      <c r="AM6" s="284"/>
      <c r="AN6" s="284"/>
      <c r="AO6" s="284"/>
      <c r="AP6" s="31"/>
      <c r="AQ6" s="31"/>
      <c r="AR6" s="31"/>
      <c r="AS6" s="113"/>
      <c r="AT6" s="31"/>
      <c r="AU6" s="31"/>
      <c r="AV6" s="31"/>
      <c r="AW6" s="31"/>
      <c r="AX6" s="31"/>
      <c r="AY6" s="31"/>
      <c r="AZ6" s="284"/>
      <c r="BA6" s="284"/>
      <c r="BB6" s="284"/>
      <c r="BC6" s="284"/>
      <c r="BD6" s="284"/>
      <c r="BE6" s="284"/>
      <c r="BF6" s="284"/>
      <c r="BG6" s="284"/>
      <c r="BH6" s="284"/>
      <c r="BI6" s="284"/>
      <c r="BJ6" s="284"/>
      <c r="BK6" s="284"/>
      <c r="BL6" s="284"/>
      <c r="BM6" s="284"/>
      <c r="BN6" s="284"/>
      <c r="BO6" s="284"/>
      <c r="BP6" s="284"/>
      <c r="BQ6" s="284"/>
    </row>
    <row r="7" spans="1:69">
      <c r="A7" s="69" t="s">
        <v>106</v>
      </c>
      <c r="B7" s="155" t="s">
        <v>100</v>
      </c>
      <c r="C7" s="72" t="s">
        <v>96</v>
      </c>
      <c r="D7" s="107">
        <v>118.9</v>
      </c>
      <c r="E7" s="113">
        <v>12309.49</v>
      </c>
      <c r="F7" s="113">
        <v>1381.54</v>
      </c>
      <c r="G7" s="107">
        <v>36201.78</v>
      </c>
      <c r="H7" s="113">
        <v>30.91</v>
      </c>
      <c r="I7" s="116">
        <v>753.77</v>
      </c>
      <c r="J7" s="55">
        <v>0.373</v>
      </c>
      <c r="K7" s="31">
        <v>378.63499999999999</v>
      </c>
      <c r="L7" s="31">
        <v>4.444</v>
      </c>
      <c r="M7" s="50">
        <v>40.04</v>
      </c>
      <c r="O7" s="31"/>
      <c r="P7" s="146" t="s">
        <v>108</v>
      </c>
      <c r="Q7" s="162" t="s">
        <v>100</v>
      </c>
      <c r="R7" s="107">
        <v>111088.61</v>
      </c>
      <c r="S7" s="108">
        <v>109678.11</v>
      </c>
      <c r="T7" s="108">
        <v>117155.24</v>
      </c>
      <c r="U7" s="113">
        <f t="shared" si="0"/>
        <v>112640.65333333334</v>
      </c>
      <c r="V7" s="168">
        <f t="shared" si="1"/>
        <v>3972.8449681094567</v>
      </c>
      <c r="W7" s="176"/>
      <c r="X7" s="287"/>
      <c r="Y7" s="291"/>
      <c r="Z7" s="113"/>
      <c r="AA7" s="113"/>
      <c r="AB7" s="113"/>
      <c r="AC7" s="277"/>
      <c r="AD7" s="284"/>
      <c r="AE7" s="288"/>
      <c r="AF7" s="288"/>
      <c r="AG7" s="284"/>
      <c r="AH7" s="284"/>
      <c r="AI7" s="284"/>
      <c r="AJ7" s="284"/>
      <c r="AK7" s="77"/>
      <c r="AL7" s="284"/>
      <c r="AM7" s="284"/>
      <c r="AN7" s="284"/>
      <c r="AO7" s="284"/>
      <c r="AP7" s="31"/>
      <c r="AQ7" s="31"/>
      <c r="AR7" s="31"/>
      <c r="AS7" s="113"/>
      <c r="AT7" s="31"/>
      <c r="AU7" s="31"/>
      <c r="AV7" s="31"/>
      <c r="AW7" s="31"/>
      <c r="AX7" s="32"/>
      <c r="AY7" s="31"/>
      <c r="AZ7" s="284"/>
      <c r="BA7" s="284"/>
      <c r="BB7" s="284"/>
      <c r="BC7" s="284"/>
      <c r="BD7" s="284"/>
      <c r="BE7" s="284"/>
      <c r="BF7" s="284"/>
      <c r="BG7" s="284"/>
      <c r="BH7" s="284"/>
      <c r="BI7" s="284"/>
      <c r="BJ7" s="284"/>
      <c r="BK7" s="284"/>
      <c r="BL7" s="284"/>
      <c r="BM7" s="284"/>
      <c r="BN7" s="284"/>
      <c r="BO7" s="284"/>
      <c r="BP7" s="284"/>
      <c r="BQ7" s="284"/>
    </row>
    <row r="8" spans="1:69">
      <c r="A8" s="69" t="s">
        <v>107</v>
      </c>
      <c r="B8" s="155" t="s">
        <v>100</v>
      </c>
      <c r="C8" s="72" t="s">
        <v>96</v>
      </c>
      <c r="D8" s="107">
        <v>309.52</v>
      </c>
      <c r="E8" s="113">
        <v>15806.59</v>
      </c>
      <c r="F8" s="113">
        <v>2215.8000000000002</v>
      </c>
      <c r="G8" s="107">
        <v>107599.49</v>
      </c>
      <c r="H8" s="113">
        <v>146.75</v>
      </c>
      <c r="I8" s="116">
        <v>334.89</v>
      </c>
      <c r="J8" s="55">
        <v>0.51300000000000001</v>
      </c>
      <c r="K8" s="31">
        <v>49.881999999999998</v>
      </c>
      <c r="L8" s="32">
        <v>4.9889999999999999</v>
      </c>
      <c r="M8" s="50">
        <v>1694.4349999999999</v>
      </c>
      <c r="O8" s="31"/>
      <c r="P8" s="146" t="s">
        <v>109</v>
      </c>
      <c r="Q8" s="162" t="s">
        <v>100</v>
      </c>
      <c r="R8" s="107">
        <v>55877.84</v>
      </c>
      <c r="S8" s="108">
        <v>53501.07</v>
      </c>
      <c r="T8" s="108">
        <v>56241.46</v>
      </c>
      <c r="U8" s="113">
        <f t="shared" si="0"/>
        <v>55206.79</v>
      </c>
      <c r="V8" s="168">
        <f t="shared" si="1"/>
        <v>1488.3431777986641</v>
      </c>
      <c r="W8" s="176"/>
      <c r="X8" s="287">
        <f>AVERAGE(R8:T9)</f>
        <v>56573.993333333339</v>
      </c>
      <c r="Y8" s="291" t="s">
        <v>52</v>
      </c>
      <c r="Z8" s="113"/>
      <c r="AA8" s="113"/>
      <c r="AB8" s="113"/>
      <c r="AC8" s="277"/>
      <c r="AD8" s="283"/>
      <c r="AE8" s="288"/>
      <c r="AF8" s="288"/>
      <c r="AG8" s="288"/>
      <c r="AH8" s="288"/>
      <c r="AI8" s="284"/>
      <c r="AJ8" s="284"/>
      <c r="AK8" s="77"/>
      <c r="AL8" s="284"/>
      <c r="AM8" s="284"/>
      <c r="AN8" s="284"/>
      <c r="AO8" s="284"/>
      <c r="AP8" s="31"/>
      <c r="AQ8" s="31"/>
      <c r="AR8" s="31"/>
      <c r="AS8" s="113"/>
      <c r="AT8" s="31"/>
      <c r="AU8" s="31"/>
      <c r="AV8" s="31"/>
      <c r="AW8" s="31"/>
      <c r="AX8" s="32"/>
      <c r="AY8" s="32"/>
      <c r="AZ8" s="284"/>
      <c r="BA8" s="284"/>
      <c r="BB8" s="284"/>
      <c r="BC8" s="284"/>
      <c r="BD8" s="284"/>
      <c r="BE8" s="284"/>
      <c r="BF8" s="284"/>
      <c r="BG8" s="284"/>
      <c r="BH8" s="284"/>
      <c r="BI8" s="284"/>
      <c r="BJ8" s="284"/>
      <c r="BK8" s="284"/>
      <c r="BL8" s="284"/>
      <c r="BM8" s="284"/>
      <c r="BN8" s="284"/>
      <c r="BO8" s="284"/>
      <c r="BP8" s="284"/>
      <c r="BQ8" s="284"/>
    </row>
    <row r="9" spans="1:69">
      <c r="A9" s="69" t="s">
        <v>108</v>
      </c>
      <c r="B9" s="155" t="s">
        <v>100</v>
      </c>
      <c r="C9" s="72" t="s">
        <v>96</v>
      </c>
      <c r="D9" s="107">
        <v>1613.24</v>
      </c>
      <c r="E9" s="113">
        <v>13275.52</v>
      </c>
      <c r="F9" s="113">
        <v>1918.54</v>
      </c>
      <c r="G9" s="107">
        <v>111088.61</v>
      </c>
      <c r="H9" s="113">
        <v>143.27000000000001</v>
      </c>
      <c r="I9" s="116">
        <v>320.95</v>
      </c>
      <c r="J9" s="55">
        <v>0.20200000000000001</v>
      </c>
      <c r="K9" s="31">
        <v>83.269000000000005</v>
      </c>
      <c r="L9" s="31" t="s">
        <v>26</v>
      </c>
      <c r="M9" s="58" t="s">
        <v>26</v>
      </c>
      <c r="O9" s="31"/>
      <c r="P9" s="159" t="s">
        <v>110</v>
      </c>
      <c r="Q9" s="162" t="s">
        <v>100</v>
      </c>
      <c r="R9" s="110">
        <v>60315.040000000001</v>
      </c>
      <c r="S9" s="108">
        <v>57365.87</v>
      </c>
      <c r="T9" s="108">
        <v>56142.68</v>
      </c>
      <c r="U9" s="113">
        <f t="shared" si="0"/>
        <v>57941.196666666663</v>
      </c>
      <c r="V9" s="168">
        <f t="shared" si="1"/>
        <v>2144.853741501614</v>
      </c>
      <c r="W9" s="176"/>
      <c r="X9" s="287"/>
      <c r="Y9" s="113"/>
      <c r="Z9" s="113"/>
      <c r="AA9" s="113"/>
      <c r="AB9" s="287"/>
      <c r="AC9" s="277"/>
      <c r="AD9" s="283"/>
      <c r="AE9" s="288"/>
      <c r="AF9" s="288"/>
      <c r="AG9" s="288"/>
      <c r="AH9" s="288"/>
      <c r="AI9" s="284"/>
      <c r="AJ9" s="284"/>
      <c r="AK9" s="77"/>
      <c r="AL9" s="284"/>
      <c r="AM9" s="284"/>
      <c r="AN9" s="284"/>
      <c r="AO9" s="284"/>
      <c r="AP9" s="31"/>
      <c r="AQ9" s="31"/>
      <c r="AR9" s="31"/>
      <c r="AS9" s="113"/>
      <c r="AT9" s="31"/>
      <c r="AU9" s="31"/>
      <c r="AV9" s="32"/>
      <c r="AW9" s="32"/>
      <c r="AX9" s="32"/>
      <c r="AY9" s="32"/>
      <c r="AZ9" s="284"/>
      <c r="BA9" s="284"/>
      <c r="BB9" s="284"/>
      <c r="BC9" s="284"/>
      <c r="BD9" s="284"/>
      <c r="BE9" s="284"/>
      <c r="BF9" s="284"/>
      <c r="BG9" s="284"/>
      <c r="BH9" s="284"/>
      <c r="BI9" s="284"/>
      <c r="BJ9" s="284"/>
      <c r="BK9" s="284"/>
      <c r="BL9" s="284"/>
      <c r="BM9" s="284"/>
      <c r="BN9" s="284"/>
      <c r="BO9" s="284"/>
      <c r="BP9" s="284"/>
      <c r="BQ9" s="284"/>
    </row>
    <row r="10" spans="1:69">
      <c r="A10" s="69" t="s">
        <v>109</v>
      </c>
      <c r="B10" s="155" t="s">
        <v>100</v>
      </c>
      <c r="C10" s="72" t="s">
        <v>96</v>
      </c>
      <c r="D10" s="107">
        <v>191.48</v>
      </c>
      <c r="E10" s="113">
        <v>13553.87</v>
      </c>
      <c r="F10" s="113">
        <v>1371.52</v>
      </c>
      <c r="G10" s="107">
        <v>55877.84</v>
      </c>
      <c r="H10" s="113">
        <v>57.98</v>
      </c>
      <c r="I10" s="116">
        <v>1465.94</v>
      </c>
      <c r="J10" s="55">
        <v>1.331</v>
      </c>
      <c r="K10" s="31">
        <v>43.881999999999998</v>
      </c>
      <c r="L10" s="32">
        <v>4.9320000000000004</v>
      </c>
      <c r="M10" s="50">
        <v>844.72799999999995</v>
      </c>
      <c r="O10" s="31"/>
      <c r="P10" s="146" t="s">
        <v>105</v>
      </c>
      <c r="Q10" s="163" t="s">
        <v>101</v>
      </c>
      <c r="R10" s="111">
        <f>19050.65*2</f>
        <v>38101.300000000003</v>
      </c>
      <c r="S10" s="112">
        <v>32748.3</v>
      </c>
      <c r="T10" s="118">
        <v>31969.82</v>
      </c>
      <c r="U10" s="118">
        <f t="shared" si="0"/>
        <v>34273.140000000007</v>
      </c>
      <c r="V10" s="167">
        <f t="shared" si="1"/>
        <v>3338.0554993588239</v>
      </c>
      <c r="W10" s="176"/>
      <c r="X10" s="287"/>
      <c r="Y10" s="113"/>
      <c r="Z10" s="113"/>
      <c r="AA10" s="113"/>
      <c r="AB10" s="287"/>
      <c r="AC10" s="277"/>
      <c r="AD10" s="283"/>
      <c r="AE10" s="288"/>
      <c r="AF10" s="288"/>
      <c r="AG10" s="289"/>
      <c r="AH10" s="284"/>
      <c r="AI10" s="284"/>
      <c r="AJ10" s="284"/>
      <c r="AK10" s="77"/>
      <c r="AL10" s="284"/>
      <c r="AM10" s="284"/>
      <c r="AN10" s="284"/>
      <c r="AO10" s="284"/>
      <c r="AP10" s="31"/>
      <c r="AQ10" s="31"/>
      <c r="AR10" s="31"/>
      <c r="AS10" s="113"/>
      <c r="AT10" s="31"/>
      <c r="AU10" s="31"/>
      <c r="AV10" s="32"/>
      <c r="AW10" s="32"/>
      <c r="AX10" s="32"/>
      <c r="AY10" s="32"/>
      <c r="AZ10" s="284"/>
      <c r="BA10" s="284"/>
      <c r="BB10" s="284"/>
      <c r="BC10" s="284"/>
      <c r="BD10" s="284"/>
      <c r="BE10" s="284"/>
      <c r="BF10" s="284"/>
      <c r="BG10" s="284"/>
      <c r="BH10" s="284"/>
      <c r="BI10" s="284"/>
      <c r="BJ10" s="284"/>
      <c r="BK10" s="284"/>
      <c r="BL10" s="284"/>
      <c r="BM10" s="284"/>
      <c r="BN10" s="284"/>
      <c r="BO10" s="284"/>
      <c r="BP10" s="284"/>
      <c r="BQ10" s="284"/>
    </row>
    <row r="11" spans="1:69">
      <c r="A11" s="70" t="s">
        <v>110</v>
      </c>
      <c r="B11" s="156" t="s">
        <v>100</v>
      </c>
      <c r="C11" s="73" t="s">
        <v>96</v>
      </c>
      <c r="D11" s="110">
        <v>1851.6</v>
      </c>
      <c r="E11" s="114">
        <v>10363.82</v>
      </c>
      <c r="F11" s="114">
        <v>899.55</v>
      </c>
      <c r="G11" s="110">
        <v>60315.040000000001</v>
      </c>
      <c r="H11" s="114">
        <v>48.34</v>
      </c>
      <c r="I11" s="117">
        <v>1522.13</v>
      </c>
      <c r="J11" s="59">
        <v>0.14099999999999999</v>
      </c>
      <c r="K11" s="37">
        <v>48.329000000000001</v>
      </c>
      <c r="L11" s="48">
        <v>3.1629999999999998</v>
      </c>
      <c r="M11" s="60">
        <v>95.662999999999997</v>
      </c>
      <c r="O11" s="31"/>
      <c r="P11" s="146" t="s">
        <v>106</v>
      </c>
      <c r="Q11" s="162" t="s">
        <v>101</v>
      </c>
      <c r="R11" s="107">
        <f>16672.26*2</f>
        <v>33344.519999999997</v>
      </c>
      <c r="S11" s="113">
        <v>30826.52</v>
      </c>
      <c r="T11" s="108">
        <v>28797.72</v>
      </c>
      <c r="U11" s="108">
        <f t="shared" si="0"/>
        <v>30989.586666666666</v>
      </c>
      <c r="V11" s="168">
        <f t="shared" si="1"/>
        <v>2277.7819503485102</v>
      </c>
      <c r="W11" s="176"/>
      <c r="X11" s="287"/>
      <c r="Y11" s="113"/>
      <c r="Z11" s="113"/>
      <c r="AA11" s="113"/>
      <c r="AB11" s="287"/>
      <c r="AC11" s="277"/>
      <c r="AD11" s="283"/>
      <c r="AE11" s="288"/>
      <c r="AF11" s="288"/>
      <c r="AG11" s="279"/>
      <c r="AH11" s="279"/>
      <c r="AI11" s="284"/>
      <c r="AJ11" s="284"/>
      <c r="AK11" s="77"/>
      <c r="AL11" s="284"/>
      <c r="AM11" s="284"/>
      <c r="AN11" s="284"/>
      <c r="AO11" s="284"/>
      <c r="AP11" s="31"/>
      <c r="AQ11" s="31"/>
      <c r="AR11" s="31"/>
      <c r="AS11" s="113"/>
      <c r="AT11" s="31"/>
      <c r="AU11" s="31"/>
      <c r="AV11" s="32"/>
      <c r="AW11" s="32"/>
      <c r="AX11" s="32"/>
      <c r="AY11" s="32"/>
      <c r="AZ11" s="284"/>
      <c r="BA11" s="284"/>
      <c r="BB11" s="284"/>
      <c r="BC11" s="284"/>
      <c r="BD11" s="284"/>
      <c r="BE11" s="284"/>
      <c r="BF11" s="284"/>
      <c r="BG11" s="284"/>
      <c r="BH11" s="284"/>
      <c r="BI11" s="284"/>
      <c r="BJ11" s="284"/>
      <c r="BK11" s="284"/>
      <c r="BL11" s="284"/>
      <c r="BM11" s="284"/>
      <c r="BN11" s="284"/>
      <c r="BO11" s="284"/>
      <c r="BP11" s="284"/>
      <c r="BQ11" s="284"/>
    </row>
    <row r="12" spans="1:69">
      <c r="A12" s="69" t="s">
        <v>105</v>
      </c>
      <c r="B12" s="66" t="s">
        <v>101</v>
      </c>
      <c r="C12" s="72" t="s">
        <v>96</v>
      </c>
      <c r="D12" s="107">
        <v>291.68</v>
      </c>
      <c r="E12" s="113">
        <v>15636.58</v>
      </c>
      <c r="F12" s="113">
        <v>1408.42</v>
      </c>
      <c r="G12" s="107">
        <f>19050.65*2</f>
        <v>38101.300000000003</v>
      </c>
      <c r="H12" s="113">
        <v>51.3</v>
      </c>
      <c r="I12" s="116">
        <v>1140.8399999999999</v>
      </c>
      <c r="J12" s="64">
        <v>0.40200000000000002</v>
      </c>
      <c r="K12" s="32">
        <v>73.5</v>
      </c>
      <c r="L12" s="32">
        <v>0.14799999999999999</v>
      </c>
      <c r="M12" s="58">
        <v>4.4610000000000003</v>
      </c>
      <c r="O12" s="31"/>
      <c r="P12" s="146" t="s">
        <v>107</v>
      </c>
      <c r="Q12" s="162" t="s">
        <v>101</v>
      </c>
      <c r="R12" s="107" t="s">
        <v>26</v>
      </c>
      <c r="S12" s="113">
        <v>108209.34</v>
      </c>
      <c r="T12" s="123">
        <v>96544.88</v>
      </c>
      <c r="U12" s="108">
        <f>AVERAGE(S12:T12)</f>
        <v>102377.11</v>
      </c>
      <c r="V12" s="168">
        <f>STDEV(S12:T12)</f>
        <v>8248.0187648791907</v>
      </c>
      <c r="W12" s="176"/>
      <c r="X12" s="287"/>
      <c r="Y12" s="113"/>
      <c r="Z12" s="113"/>
      <c r="AA12" s="113"/>
      <c r="AB12" s="287"/>
      <c r="AC12" s="277"/>
      <c r="AD12" s="284"/>
      <c r="AE12" s="288"/>
      <c r="AF12" s="288"/>
      <c r="AG12" s="13"/>
      <c r="AH12" s="280"/>
      <c r="AI12" s="284"/>
      <c r="AJ12" s="284"/>
      <c r="AK12" s="77"/>
      <c r="AL12" s="284"/>
      <c r="AM12" s="284"/>
      <c r="AN12" s="284"/>
      <c r="AO12" s="284"/>
      <c r="AP12" s="31"/>
      <c r="AQ12" s="31"/>
      <c r="AR12" s="31"/>
      <c r="AS12" s="113"/>
      <c r="AT12" s="31"/>
      <c r="AU12" s="31"/>
      <c r="AV12" s="32"/>
      <c r="AW12" s="32"/>
      <c r="AX12" s="32"/>
      <c r="AY12" s="32"/>
      <c r="AZ12" s="284"/>
      <c r="BA12" s="284"/>
      <c r="BB12" s="284"/>
      <c r="BC12" s="284"/>
      <c r="BD12" s="284"/>
      <c r="BE12" s="284"/>
      <c r="BF12" s="284"/>
      <c r="BG12" s="284"/>
      <c r="BH12" s="284"/>
      <c r="BI12" s="284"/>
      <c r="BJ12" s="284"/>
      <c r="BK12" s="284"/>
      <c r="BL12" s="284"/>
      <c r="BM12" s="284"/>
      <c r="BN12" s="284"/>
      <c r="BO12" s="284"/>
      <c r="BP12" s="284"/>
      <c r="BQ12" s="284"/>
    </row>
    <row r="13" spans="1:69">
      <c r="A13" s="69" t="s">
        <v>106</v>
      </c>
      <c r="B13" s="66" t="s">
        <v>101</v>
      </c>
      <c r="C13" s="72" t="s">
        <v>96</v>
      </c>
      <c r="D13" s="107">
        <v>237.88</v>
      </c>
      <c r="E13" s="113">
        <v>15457.42</v>
      </c>
      <c r="F13" s="113">
        <v>1514.16</v>
      </c>
      <c r="G13" s="107">
        <f>16672.26*2</f>
        <v>33344.519999999997</v>
      </c>
      <c r="H13" s="113">
        <v>10.78</v>
      </c>
      <c r="I13" s="116">
        <v>2933.96</v>
      </c>
      <c r="J13" s="64">
        <v>0.53700000000000003</v>
      </c>
      <c r="K13" s="32">
        <v>703.45100000000002</v>
      </c>
      <c r="L13" s="32">
        <v>4.9489999999999998</v>
      </c>
      <c r="M13" s="58">
        <v>31.434999999999999</v>
      </c>
      <c r="O13" s="31"/>
      <c r="P13" s="146" t="s">
        <v>108</v>
      </c>
      <c r="Q13" s="162" t="s">
        <v>101</v>
      </c>
      <c r="R13" s="107">
        <f>56522.73*2</f>
        <v>113045.46</v>
      </c>
      <c r="S13" s="113">
        <v>104179.08</v>
      </c>
      <c r="T13" s="108" t="s">
        <v>26</v>
      </c>
      <c r="U13" s="108">
        <f>AVERAGE(R13:S13)</f>
        <v>108612.27</v>
      </c>
      <c r="V13" s="168">
        <f>STDEV(R13:S13)</f>
        <v>6269.4774225769888</v>
      </c>
      <c r="W13" s="176"/>
      <c r="X13" s="287"/>
      <c r="Y13" s="113"/>
      <c r="Z13" s="113"/>
      <c r="AA13" s="113"/>
      <c r="AB13" s="287"/>
      <c r="AC13" s="277"/>
      <c r="AD13" s="284"/>
      <c r="AE13" s="288"/>
      <c r="AF13" s="288"/>
      <c r="AG13" s="288"/>
      <c r="AH13" s="288"/>
      <c r="AI13" s="284"/>
      <c r="AJ13" s="284"/>
      <c r="AK13" s="77"/>
      <c r="AL13" s="284"/>
      <c r="AM13" s="284"/>
      <c r="AN13" s="284"/>
      <c r="AO13" s="284"/>
      <c r="AP13" s="31"/>
      <c r="AQ13" s="31"/>
      <c r="AR13" s="31"/>
      <c r="AS13" s="113"/>
      <c r="AT13" s="31"/>
      <c r="AU13" s="31"/>
      <c r="AV13" s="32"/>
      <c r="AW13" s="32"/>
      <c r="AX13" s="32"/>
      <c r="AY13" s="32"/>
      <c r="AZ13" s="284"/>
      <c r="BA13" s="284"/>
      <c r="BB13" s="284"/>
      <c r="BC13" s="284"/>
      <c r="BD13" s="284"/>
      <c r="BE13" s="284"/>
      <c r="BF13" s="284"/>
      <c r="BG13" s="284"/>
      <c r="BH13" s="284"/>
      <c r="BI13" s="284"/>
      <c r="BJ13" s="284"/>
      <c r="BK13" s="284"/>
      <c r="BL13" s="284"/>
      <c r="BM13" s="284"/>
      <c r="BN13" s="284"/>
      <c r="BO13" s="284"/>
      <c r="BP13" s="284"/>
      <c r="BQ13" s="284"/>
    </row>
    <row r="14" spans="1:69">
      <c r="A14" s="69" t="s">
        <v>107</v>
      </c>
      <c r="B14" s="66" t="s">
        <v>101</v>
      </c>
      <c r="C14" s="72" t="s">
        <v>96</v>
      </c>
      <c r="D14" s="107">
        <v>299</v>
      </c>
      <c r="E14" s="177">
        <f>11098.45*2</f>
        <v>22196.9</v>
      </c>
      <c r="F14" s="113">
        <v>2629.48</v>
      </c>
      <c r="G14" s="107" t="s">
        <v>26</v>
      </c>
      <c r="H14" s="113">
        <v>162.63999999999999</v>
      </c>
      <c r="I14" s="116">
        <v>1048.46</v>
      </c>
      <c r="J14" s="64">
        <v>0.45200000000000001</v>
      </c>
      <c r="K14" s="32">
        <v>85.57</v>
      </c>
      <c r="L14" s="32">
        <v>3.7789999999999999</v>
      </c>
      <c r="M14" s="58">
        <v>930.95500000000004</v>
      </c>
      <c r="O14" s="31"/>
      <c r="P14" s="146" t="s">
        <v>109</v>
      </c>
      <c r="Q14" s="162" t="s">
        <v>101</v>
      </c>
      <c r="R14" s="107">
        <f>29304.79*2</f>
        <v>58609.58</v>
      </c>
      <c r="S14" s="113">
        <v>53847.56</v>
      </c>
      <c r="T14" s="108">
        <v>51937.72</v>
      </c>
      <c r="U14" s="108">
        <f t="shared" si="0"/>
        <v>54798.28666666666</v>
      </c>
      <c r="V14" s="168">
        <f t="shared" si="1"/>
        <v>3436.0354859829749</v>
      </c>
      <c r="W14" s="176"/>
      <c r="X14" s="287"/>
      <c r="Y14" s="113"/>
      <c r="Z14" s="113"/>
      <c r="AA14" s="113"/>
      <c r="AB14" s="287"/>
      <c r="AC14" s="277"/>
      <c r="AD14" s="284"/>
      <c r="AE14" s="288"/>
      <c r="AF14" s="288"/>
      <c r="AG14" s="288"/>
      <c r="AH14" s="288"/>
      <c r="AI14" s="284"/>
      <c r="AJ14" s="284"/>
      <c r="AK14" s="77"/>
      <c r="AL14" s="284"/>
      <c r="AM14" s="284"/>
      <c r="AN14" s="284"/>
      <c r="AO14" s="284"/>
      <c r="AP14" s="31"/>
      <c r="AQ14" s="31"/>
      <c r="AR14" s="31"/>
      <c r="AS14" s="113"/>
      <c r="AT14" s="31"/>
      <c r="AU14" s="31"/>
      <c r="AV14" s="32"/>
      <c r="AW14" s="32"/>
      <c r="AX14" s="32"/>
      <c r="AY14" s="32"/>
      <c r="AZ14" s="284"/>
      <c r="BA14" s="284"/>
      <c r="BB14" s="284"/>
      <c r="BC14" s="284"/>
      <c r="BD14" s="284"/>
      <c r="BE14" s="284"/>
      <c r="BF14" s="284"/>
      <c r="BG14" s="284"/>
      <c r="BH14" s="284"/>
      <c r="BI14" s="284"/>
      <c r="BJ14" s="284"/>
      <c r="BK14" s="284"/>
      <c r="BL14" s="284"/>
      <c r="BM14" s="284"/>
      <c r="BN14" s="284"/>
      <c r="BO14" s="284"/>
      <c r="BP14" s="284"/>
      <c r="BQ14" s="284"/>
    </row>
    <row r="15" spans="1:69">
      <c r="A15" s="69" t="s">
        <v>108</v>
      </c>
      <c r="B15" s="66" t="s">
        <v>101</v>
      </c>
      <c r="C15" s="72" t="s">
        <v>96</v>
      </c>
      <c r="D15" s="107">
        <v>694.5</v>
      </c>
      <c r="E15" s="113">
        <v>19226.96</v>
      </c>
      <c r="F15" s="113">
        <v>2673.9</v>
      </c>
      <c r="G15" s="107">
        <f>56522.73*2</f>
        <v>113045.46</v>
      </c>
      <c r="H15" s="113">
        <v>136.5</v>
      </c>
      <c r="I15" s="116">
        <v>1834.16</v>
      </c>
      <c r="J15" s="64">
        <v>0.53100000000000003</v>
      </c>
      <c r="K15" s="32">
        <v>262.92099999999999</v>
      </c>
      <c r="L15" s="32">
        <v>7.0380000000000003</v>
      </c>
      <c r="M15" s="58">
        <v>123.434</v>
      </c>
      <c r="O15" s="31"/>
      <c r="P15" s="46" t="s">
        <v>110</v>
      </c>
      <c r="Q15" s="162" t="s">
        <v>101</v>
      </c>
      <c r="R15" s="107">
        <f>28117.44*2</f>
        <v>56234.879999999997</v>
      </c>
      <c r="S15" s="113">
        <v>55091.86</v>
      </c>
      <c r="T15" s="108">
        <v>51700.1</v>
      </c>
      <c r="U15" s="108">
        <f t="shared" si="0"/>
        <v>54342.28</v>
      </c>
      <c r="V15" s="168">
        <f t="shared" si="1"/>
        <v>2358.4868124289287</v>
      </c>
      <c r="W15" s="176"/>
      <c r="X15" s="287"/>
      <c r="Y15" s="113"/>
      <c r="Z15" s="113"/>
      <c r="AA15" s="113"/>
      <c r="AB15" s="287"/>
      <c r="AC15" s="277"/>
      <c r="AD15" s="281"/>
      <c r="AE15" s="288"/>
      <c r="AF15" s="288"/>
      <c r="AG15" s="288"/>
      <c r="AH15" s="288"/>
      <c r="AI15" s="284"/>
      <c r="AJ15" s="284"/>
      <c r="AK15" s="77"/>
      <c r="AL15" s="284"/>
      <c r="AM15" s="284"/>
      <c r="AN15" s="284"/>
      <c r="AO15" s="284"/>
      <c r="AP15" s="31"/>
      <c r="AQ15" s="31"/>
      <c r="AR15" s="31"/>
      <c r="AS15" s="113"/>
      <c r="AT15" s="31"/>
      <c r="AU15" s="31"/>
      <c r="AV15" s="32"/>
      <c r="AW15" s="32"/>
      <c r="AX15" s="32"/>
      <c r="AY15" s="32"/>
      <c r="AZ15" s="284"/>
      <c r="BA15" s="284"/>
      <c r="BB15" s="284"/>
      <c r="BC15" s="284"/>
      <c r="BD15" s="284"/>
      <c r="BE15" s="284"/>
      <c r="BF15" s="284"/>
      <c r="BG15" s="284"/>
      <c r="BH15" s="284"/>
      <c r="BI15" s="284"/>
      <c r="BJ15" s="284"/>
      <c r="BK15" s="284"/>
      <c r="BL15" s="284"/>
      <c r="BM15" s="284"/>
      <c r="BN15" s="284"/>
      <c r="BO15" s="284"/>
      <c r="BP15" s="284"/>
      <c r="BQ15" s="284"/>
    </row>
    <row r="16" spans="1:69">
      <c r="A16" s="69" t="s">
        <v>109</v>
      </c>
      <c r="B16" s="66" t="s">
        <v>101</v>
      </c>
      <c r="C16" s="72" t="s">
        <v>96</v>
      </c>
      <c r="D16" s="107">
        <v>316.10000000000002</v>
      </c>
      <c r="E16" s="113">
        <v>15613.34</v>
      </c>
      <c r="F16" s="113">
        <v>1443.2</v>
      </c>
      <c r="G16" s="107">
        <f>29304.79*2</f>
        <v>58609.58</v>
      </c>
      <c r="H16" s="113">
        <v>61.6</v>
      </c>
      <c r="I16" s="116">
        <v>1738.68</v>
      </c>
      <c r="J16" s="64">
        <v>0.89800000000000002</v>
      </c>
      <c r="K16" s="32">
        <v>51.771000000000001</v>
      </c>
      <c r="L16" s="32">
        <v>1.5489999999999999</v>
      </c>
      <c r="M16" s="58">
        <v>579.99900000000002</v>
      </c>
      <c r="O16" s="31"/>
      <c r="P16" s="171"/>
      <c r="Q16" s="171"/>
      <c r="R16" s="113"/>
      <c r="S16" s="113"/>
      <c r="T16" s="113"/>
      <c r="U16" s="113"/>
      <c r="V16" s="19"/>
      <c r="W16" s="246"/>
      <c r="X16" s="287"/>
      <c r="Y16" s="113"/>
      <c r="Z16" s="113"/>
      <c r="AA16" s="113"/>
      <c r="AB16" s="287"/>
      <c r="AC16" s="277"/>
      <c r="AD16" s="281"/>
      <c r="AE16" s="288"/>
      <c r="AF16" s="288"/>
      <c r="AG16" s="288"/>
      <c r="AH16" s="288"/>
      <c r="AI16" s="284"/>
      <c r="AJ16" s="284"/>
      <c r="AK16" s="77"/>
      <c r="AL16" s="284"/>
      <c r="AM16" s="284"/>
      <c r="AN16" s="284"/>
      <c r="AO16" s="284"/>
      <c r="AP16" s="31"/>
      <c r="AQ16" s="31"/>
      <c r="AR16" s="31"/>
      <c r="AS16" s="113"/>
      <c r="AT16" s="31"/>
      <c r="AU16" s="31"/>
      <c r="AV16" s="32"/>
      <c r="AW16" s="32"/>
      <c r="AX16" s="31"/>
      <c r="AY16" s="31"/>
      <c r="AZ16" s="284"/>
      <c r="BA16" s="284"/>
      <c r="BB16" s="284"/>
      <c r="BC16" s="284"/>
      <c r="BD16" s="284"/>
      <c r="BE16" s="284"/>
      <c r="BF16" s="284"/>
      <c r="BG16" s="284"/>
      <c r="BH16" s="284"/>
      <c r="BI16" s="284"/>
      <c r="BJ16" s="284"/>
      <c r="BK16" s="284"/>
      <c r="BL16" s="284"/>
      <c r="BM16" s="284"/>
      <c r="BN16" s="284"/>
      <c r="BO16" s="284"/>
      <c r="BP16" s="284"/>
      <c r="BQ16" s="284"/>
    </row>
    <row r="17" spans="1:69">
      <c r="A17" s="70" t="s">
        <v>110</v>
      </c>
      <c r="B17" s="66" t="s">
        <v>101</v>
      </c>
      <c r="C17" s="72" t="s">
        <v>96</v>
      </c>
      <c r="D17" s="110">
        <v>724.48</v>
      </c>
      <c r="E17" s="114">
        <v>15096.9</v>
      </c>
      <c r="F17" s="114">
        <v>1606.62</v>
      </c>
      <c r="G17" s="110">
        <f>28117.44*2</f>
        <v>56234.879999999997</v>
      </c>
      <c r="H17" s="114">
        <v>21.78</v>
      </c>
      <c r="I17" s="117">
        <v>2115.8000000000002</v>
      </c>
      <c r="J17" s="65">
        <v>0.29399999999999998</v>
      </c>
      <c r="K17" s="48">
        <v>89.492000000000004</v>
      </c>
      <c r="L17" s="48">
        <v>1.5289999999999999</v>
      </c>
      <c r="M17" s="60">
        <v>14.569000000000001</v>
      </c>
      <c r="O17" s="31"/>
      <c r="P17" s="171"/>
      <c r="Q17" s="171"/>
      <c r="R17" s="113"/>
      <c r="S17" s="113"/>
      <c r="T17" s="113"/>
      <c r="U17" s="113"/>
      <c r="V17" s="19"/>
      <c r="W17" s="246"/>
      <c r="X17" s="287"/>
      <c r="Y17" s="77"/>
      <c r="Z17" s="77"/>
      <c r="AA17" s="113"/>
      <c r="AB17" s="113"/>
      <c r="AC17" s="282"/>
      <c r="AD17" s="281"/>
      <c r="AE17" s="288"/>
      <c r="AF17" s="288"/>
      <c r="AG17" s="288"/>
      <c r="AH17" s="288"/>
      <c r="AI17" s="284"/>
      <c r="AJ17" s="284"/>
      <c r="AK17" s="77"/>
      <c r="AL17" s="284"/>
      <c r="AM17" s="284"/>
      <c r="AN17" s="284"/>
      <c r="AO17" s="284"/>
      <c r="AP17" s="31"/>
      <c r="AQ17" s="31"/>
      <c r="AR17" s="31"/>
      <c r="AS17" s="113"/>
      <c r="AT17" s="31"/>
      <c r="AU17" s="31"/>
      <c r="AV17" s="32"/>
      <c r="AW17" s="32"/>
      <c r="AX17" s="31"/>
      <c r="AY17" s="31"/>
      <c r="AZ17" s="284"/>
      <c r="BA17" s="284"/>
      <c r="BB17" s="284"/>
      <c r="BC17" s="284"/>
      <c r="BD17" s="284"/>
      <c r="BE17" s="284"/>
      <c r="BF17" s="284"/>
      <c r="BG17" s="284"/>
      <c r="BH17" s="284"/>
      <c r="BI17" s="284"/>
      <c r="BJ17" s="284"/>
      <c r="BK17" s="284"/>
      <c r="BL17" s="284"/>
      <c r="BM17" s="284"/>
      <c r="BN17" s="284"/>
      <c r="BO17" s="284"/>
      <c r="BP17" s="284"/>
      <c r="BQ17" s="284"/>
    </row>
    <row r="18" spans="1:69">
      <c r="A18" s="69" t="s">
        <v>105</v>
      </c>
      <c r="B18" s="157" t="s">
        <v>100</v>
      </c>
      <c r="C18" s="74" t="s">
        <v>97</v>
      </c>
      <c r="D18" s="113">
        <v>97.58</v>
      </c>
      <c r="E18" s="113">
        <v>12877.11</v>
      </c>
      <c r="F18" s="116">
        <v>1104.8800000000001</v>
      </c>
      <c r="G18" s="107">
        <v>34217.279999999999</v>
      </c>
      <c r="H18" s="113">
        <v>23.68</v>
      </c>
      <c r="I18" s="116">
        <v>583.95000000000005</v>
      </c>
      <c r="J18" s="63">
        <v>0.65500000000000003</v>
      </c>
      <c r="K18" s="47">
        <v>61.792000000000002</v>
      </c>
      <c r="L18" s="47">
        <v>0.32200000000000001</v>
      </c>
      <c r="M18" s="57">
        <v>2.891</v>
      </c>
      <c r="O18" s="31"/>
      <c r="P18" s="171"/>
      <c r="Q18" s="171"/>
      <c r="R18" s="113"/>
      <c r="S18" s="113"/>
      <c r="T18" s="113"/>
      <c r="U18" s="113"/>
      <c r="V18" s="19"/>
      <c r="W18" s="246"/>
      <c r="X18" s="287"/>
      <c r="Y18" s="77"/>
      <c r="Z18" s="77"/>
      <c r="AA18" s="113"/>
      <c r="AB18" s="282"/>
      <c r="AC18" s="282"/>
      <c r="AD18" s="281"/>
      <c r="AE18" s="288"/>
      <c r="AF18" s="288"/>
      <c r="AG18" s="288"/>
      <c r="AH18" s="288"/>
      <c r="AI18" s="284"/>
      <c r="AJ18" s="284"/>
      <c r="AK18" s="77"/>
      <c r="AL18" s="284"/>
      <c r="AM18" s="284"/>
      <c r="AN18" s="284"/>
      <c r="AO18" s="284"/>
      <c r="AP18" s="31"/>
      <c r="AQ18" s="31"/>
      <c r="AR18" s="31"/>
      <c r="AS18" s="113"/>
      <c r="AT18" s="31"/>
      <c r="AU18" s="31"/>
      <c r="AV18" s="32"/>
      <c r="AW18" s="32"/>
      <c r="AX18" s="32"/>
      <c r="AY18" s="32"/>
      <c r="AZ18" s="284"/>
      <c r="BA18" s="284"/>
      <c r="BB18" s="284"/>
      <c r="BC18" s="284"/>
      <c r="BD18" s="284"/>
      <c r="BE18" s="284"/>
      <c r="BF18" s="284"/>
      <c r="BG18" s="284"/>
      <c r="BH18" s="284"/>
      <c r="BI18" s="284"/>
      <c r="BJ18" s="284"/>
      <c r="BK18" s="284"/>
      <c r="BL18" s="284"/>
      <c r="BM18" s="284"/>
      <c r="BN18" s="284"/>
      <c r="BO18" s="284"/>
      <c r="BP18" s="284"/>
      <c r="BQ18" s="284"/>
    </row>
    <row r="19" spans="1:69">
      <c r="A19" s="69" t="s">
        <v>106</v>
      </c>
      <c r="B19" s="155" t="s">
        <v>100</v>
      </c>
      <c r="C19" s="75" t="s">
        <v>97</v>
      </c>
      <c r="D19" s="113">
        <v>100.09</v>
      </c>
      <c r="E19" s="113">
        <v>12126.95</v>
      </c>
      <c r="F19" s="116">
        <v>1217.28</v>
      </c>
      <c r="G19" s="107">
        <v>33614.06</v>
      </c>
      <c r="H19" s="113" t="s">
        <v>26</v>
      </c>
      <c r="I19" s="116">
        <v>822.24</v>
      </c>
      <c r="J19" s="64">
        <v>0.38300000000000001</v>
      </c>
      <c r="K19" s="32">
        <v>401.09899999999999</v>
      </c>
      <c r="L19" s="31">
        <v>2.766</v>
      </c>
      <c r="M19" s="50">
        <v>10.455</v>
      </c>
      <c r="O19" s="252" t="s">
        <v>114</v>
      </c>
      <c r="P19" s="259" t="s">
        <v>55</v>
      </c>
      <c r="Q19" s="260" t="s">
        <v>99</v>
      </c>
      <c r="R19" s="255" t="s">
        <v>96</v>
      </c>
      <c r="S19" s="256" t="s">
        <v>97</v>
      </c>
      <c r="T19" s="255" t="s">
        <v>98</v>
      </c>
      <c r="U19" s="261" t="s">
        <v>127</v>
      </c>
      <c r="V19" s="262" t="s">
        <v>128</v>
      </c>
      <c r="W19" s="176"/>
      <c r="X19" s="287"/>
      <c r="Y19" s="77"/>
      <c r="Z19" s="77"/>
      <c r="AA19" s="113"/>
      <c r="AB19" s="113"/>
      <c r="AC19" s="282"/>
      <c r="AD19" s="281"/>
      <c r="AE19" s="283"/>
      <c r="AF19" s="284"/>
      <c r="AG19" s="284"/>
      <c r="AH19" s="288"/>
      <c r="AI19" s="284"/>
      <c r="AJ19" s="284"/>
      <c r="AK19" s="77"/>
      <c r="AL19" s="284"/>
      <c r="AM19" s="284"/>
      <c r="AN19" s="284"/>
      <c r="AO19" s="284"/>
      <c r="AP19" s="31"/>
      <c r="AQ19" s="31"/>
      <c r="AR19" s="31"/>
      <c r="AS19" s="113"/>
      <c r="AT19" s="31"/>
      <c r="AU19" s="31"/>
      <c r="AV19" s="32"/>
      <c r="AW19" s="32"/>
      <c r="AX19" s="32"/>
      <c r="AY19" s="32"/>
      <c r="AZ19" s="284"/>
      <c r="BA19" s="284"/>
      <c r="BB19" s="284"/>
      <c r="BC19" s="284"/>
      <c r="BD19" s="284"/>
      <c r="BE19" s="284"/>
      <c r="BF19" s="284"/>
      <c r="BG19" s="284"/>
      <c r="BH19" s="284"/>
      <c r="BI19" s="284"/>
      <c r="BJ19" s="284"/>
      <c r="BK19" s="284"/>
      <c r="BL19" s="284"/>
      <c r="BM19" s="284"/>
      <c r="BN19" s="284"/>
      <c r="BO19" s="284"/>
      <c r="BP19" s="284"/>
      <c r="BQ19" s="284"/>
    </row>
    <row r="20" spans="1:69">
      <c r="A20" s="69" t="s">
        <v>107</v>
      </c>
      <c r="B20" s="155" t="s">
        <v>100</v>
      </c>
      <c r="C20" s="94" t="s">
        <v>97</v>
      </c>
      <c r="D20" s="113">
        <v>227.89</v>
      </c>
      <c r="E20" s="113">
        <v>16339.74</v>
      </c>
      <c r="F20" s="116">
        <v>2179.58</v>
      </c>
      <c r="G20" s="107">
        <v>106677.09</v>
      </c>
      <c r="H20" s="113">
        <v>123.39</v>
      </c>
      <c r="I20" s="116">
        <v>378.26</v>
      </c>
      <c r="J20" s="64">
        <f>0.516*2</f>
        <v>1.032</v>
      </c>
      <c r="K20" s="32">
        <f>47.2*2</f>
        <v>94.4</v>
      </c>
      <c r="L20" s="31">
        <f>1.812*2</f>
        <v>3.6240000000000001</v>
      </c>
      <c r="M20" s="50">
        <f>1424.888*2</f>
        <v>2849.7759999999998</v>
      </c>
      <c r="O20" s="31"/>
      <c r="P20" s="46" t="s">
        <v>105</v>
      </c>
      <c r="Q20" s="172" t="s">
        <v>100</v>
      </c>
      <c r="R20" s="118">
        <v>13370.54</v>
      </c>
      <c r="S20" s="113">
        <v>12877.11</v>
      </c>
      <c r="T20" s="113">
        <v>13068.24</v>
      </c>
      <c r="U20" s="113">
        <f>AVERAGE(R20:T20)</f>
        <v>13105.296666666667</v>
      </c>
      <c r="V20" s="168">
        <f>STDEV(R20:T20)</f>
        <v>248.79346581723669</v>
      </c>
      <c r="W20" s="176"/>
      <c r="X20" s="287">
        <f>AVERAGE(R20:T21)</f>
        <v>12754.668333333335</v>
      </c>
      <c r="Y20" s="290" t="s">
        <v>53</v>
      </c>
      <c r="Z20" s="284"/>
      <c r="AA20" s="284"/>
      <c r="AB20" s="281"/>
      <c r="AC20" s="282"/>
      <c r="AD20" s="281"/>
      <c r="AE20" s="283"/>
      <c r="AF20" s="284"/>
      <c r="AG20" s="284"/>
      <c r="AH20" s="288"/>
      <c r="AI20" s="284"/>
      <c r="AJ20" s="284"/>
      <c r="AK20" s="77"/>
      <c r="AL20" s="284"/>
      <c r="AM20" s="284"/>
      <c r="AN20" s="284"/>
      <c r="AO20" s="284"/>
      <c r="AP20" s="31"/>
      <c r="AQ20" s="31"/>
      <c r="AR20" s="31"/>
      <c r="AS20" s="113"/>
      <c r="AT20" s="31"/>
      <c r="AU20" s="31"/>
      <c r="AV20" s="32"/>
      <c r="AW20" s="32"/>
      <c r="AX20" s="32"/>
      <c r="AY20" s="32"/>
      <c r="AZ20" s="284"/>
      <c r="BA20" s="285"/>
      <c r="BB20" s="284"/>
      <c r="BC20" s="284"/>
      <c r="BD20" s="284"/>
      <c r="BE20" s="284"/>
      <c r="BF20" s="284"/>
      <c r="BG20" s="284"/>
      <c r="BH20" s="284"/>
      <c r="BI20" s="284"/>
      <c r="BJ20" s="284"/>
      <c r="BK20" s="284"/>
      <c r="BL20" s="284"/>
      <c r="BM20" s="284"/>
      <c r="BN20" s="284"/>
      <c r="BO20" s="284"/>
      <c r="BP20" s="284"/>
      <c r="BQ20" s="284"/>
    </row>
    <row r="21" spans="1:69">
      <c r="A21" s="69" t="s">
        <v>108</v>
      </c>
      <c r="B21" s="155" t="s">
        <v>100</v>
      </c>
      <c r="C21" s="94" t="s">
        <v>97</v>
      </c>
      <c r="D21" s="113">
        <v>1454.73</v>
      </c>
      <c r="E21" s="113">
        <v>13723.08</v>
      </c>
      <c r="F21" s="116">
        <v>1961.81</v>
      </c>
      <c r="G21" s="107">
        <v>109678.11</v>
      </c>
      <c r="H21" s="113">
        <v>130.09</v>
      </c>
      <c r="I21" s="116">
        <v>348.67</v>
      </c>
      <c r="J21" s="64">
        <v>0.23</v>
      </c>
      <c r="K21" s="32">
        <v>78.141999999999996</v>
      </c>
      <c r="L21" s="32">
        <v>5.3710000000000004</v>
      </c>
      <c r="M21" s="58">
        <v>237.245</v>
      </c>
      <c r="O21" s="31"/>
      <c r="P21" s="146" t="s">
        <v>106</v>
      </c>
      <c r="Q21" s="172" t="s">
        <v>100</v>
      </c>
      <c r="R21" s="108">
        <v>12309.49</v>
      </c>
      <c r="S21" s="113">
        <v>12126.95</v>
      </c>
      <c r="T21" s="113">
        <v>12775.68</v>
      </c>
      <c r="U21" s="113">
        <f t="shared" ref="U21:U31" si="2">AVERAGE(R21:T21)</f>
        <v>12404.04</v>
      </c>
      <c r="V21" s="168">
        <f t="shared" ref="V21:V31" si="3">STDEV(R21:T21)</f>
        <v>334.54062548510331</v>
      </c>
      <c r="W21" s="176"/>
      <c r="X21" s="287"/>
      <c r="Y21" s="291"/>
      <c r="Z21" s="284"/>
      <c r="AA21" s="284"/>
      <c r="AB21" s="284"/>
      <c r="AC21" s="282"/>
      <c r="AD21" s="284"/>
      <c r="AE21" s="283"/>
      <c r="AF21" s="284"/>
      <c r="AG21" s="284"/>
      <c r="AH21" s="288"/>
      <c r="AI21" s="284"/>
      <c r="AJ21" s="284"/>
      <c r="AK21" s="77"/>
      <c r="AL21" s="284"/>
      <c r="AM21" s="284"/>
      <c r="AN21" s="284"/>
      <c r="AO21" s="284"/>
      <c r="AP21" s="31"/>
      <c r="AQ21" s="31"/>
      <c r="AR21" s="31"/>
      <c r="AS21" s="113"/>
      <c r="AT21" s="31"/>
      <c r="AU21" s="31"/>
      <c r="AV21" s="32"/>
      <c r="AW21" s="32"/>
      <c r="AX21" s="32"/>
      <c r="AY21" s="32"/>
      <c r="AZ21" s="284"/>
      <c r="BA21" s="284"/>
      <c r="BB21" s="284"/>
      <c r="BC21" s="284"/>
      <c r="BD21" s="284"/>
      <c r="BE21" s="284"/>
      <c r="BF21" s="284"/>
      <c r="BG21" s="284"/>
      <c r="BH21" s="284"/>
      <c r="BI21" s="284"/>
      <c r="BJ21" s="284"/>
      <c r="BK21" s="284"/>
      <c r="BL21" s="284"/>
      <c r="BM21" s="284"/>
      <c r="BN21" s="284"/>
      <c r="BO21" s="284"/>
      <c r="BP21" s="284"/>
      <c r="BQ21" s="284"/>
    </row>
    <row r="22" spans="1:69">
      <c r="A22" s="69" t="s">
        <v>109</v>
      </c>
      <c r="B22" s="155" t="s">
        <v>100</v>
      </c>
      <c r="C22" s="94" t="s">
        <v>97</v>
      </c>
      <c r="D22" s="113">
        <v>153.02000000000001</v>
      </c>
      <c r="E22" s="113">
        <v>14008.16</v>
      </c>
      <c r="F22" s="116">
        <v>1329.74</v>
      </c>
      <c r="G22" s="107">
        <v>53501.07</v>
      </c>
      <c r="H22" s="113">
        <v>47.94</v>
      </c>
      <c r="I22" s="116">
        <v>1487.44</v>
      </c>
      <c r="J22" s="64">
        <v>1.579</v>
      </c>
      <c r="K22" s="32">
        <v>51.716000000000001</v>
      </c>
      <c r="L22" s="32">
        <v>2.6179999999999999</v>
      </c>
      <c r="M22" s="58">
        <v>729.79399999999998</v>
      </c>
      <c r="O22" s="31"/>
      <c r="P22" s="146" t="s">
        <v>107</v>
      </c>
      <c r="Q22" s="172" t="s">
        <v>100</v>
      </c>
      <c r="R22" s="108">
        <v>15806.59</v>
      </c>
      <c r="S22" s="113">
        <v>16339.74</v>
      </c>
      <c r="T22" s="108" t="s">
        <v>26</v>
      </c>
      <c r="U22" s="113">
        <f>AVERAGE(R22:S22)</f>
        <v>16073.165000000001</v>
      </c>
      <c r="V22" s="168">
        <f t="shared" si="3"/>
        <v>376.99398038953825</v>
      </c>
      <c r="W22" s="176"/>
      <c r="X22" s="287">
        <f>AVERAGE(R22:T23)</f>
        <v>14536.422000000002</v>
      </c>
      <c r="Y22" s="291" t="s">
        <v>54</v>
      </c>
      <c r="Z22" s="283"/>
      <c r="AA22" s="283"/>
      <c r="AB22" s="288"/>
      <c r="AC22" s="31"/>
      <c r="AD22" s="283"/>
      <c r="AE22" s="283"/>
      <c r="AF22" s="284"/>
      <c r="AG22" s="284"/>
      <c r="AH22" s="288"/>
      <c r="AI22" s="284"/>
      <c r="AJ22" s="284"/>
      <c r="AK22" s="77"/>
      <c r="AL22" s="284"/>
      <c r="AM22" s="284"/>
      <c r="AN22" s="284"/>
      <c r="AO22" s="284"/>
      <c r="AP22" s="31"/>
      <c r="AQ22" s="31"/>
      <c r="AR22" s="31"/>
      <c r="AS22" s="113"/>
      <c r="AT22" s="31"/>
      <c r="AU22" s="31"/>
      <c r="AV22" s="32"/>
      <c r="AW22" s="32"/>
      <c r="AX22" s="32"/>
      <c r="AY22" s="32"/>
      <c r="AZ22" s="284"/>
      <c r="BA22" s="284"/>
      <c r="BB22" s="284"/>
      <c r="BC22" s="284"/>
      <c r="BD22" s="284"/>
      <c r="BE22" s="284"/>
      <c r="BF22" s="284"/>
      <c r="BG22" s="284"/>
      <c r="BH22" s="284"/>
      <c r="BI22" s="284"/>
      <c r="BJ22" s="284"/>
      <c r="BK22" s="284"/>
      <c r="BL22" s="284"/>
      <c r="BM22" s="284"/>
      <c r="BN22" s="284"/>
      <c r="BO22" s="284"/>
      <c r="BP22" s="284"/>
      <c r="BQ22" s="284"/>
    </row>
    <row r="23" spans="1:69">
      <c r="A23" s="70" t="s">
        <v>110</v>
      </c>
      <c r="B23" s="156" t="s">
        <v>100</v>
      </c>
      <c r="C23" s="95" t="s">
        <v>97</v>
      </c>
      <c r="D23" s="113">
        <v>1573.02</v>
      </c>
      <c r="E23" s="113">
        <v>12085.94</v>
      </c>
      <c r="F23" s="116">
        <v>923.49</v>
      </c>
      <c r="G23" s="107">
        <v>57365.87</v>
      </c>
      <c r="H23" s="113">
        <v>38.22</v>
      </c>
      <c r="I23" s="116">
        <v>1542.75</v>
      </c>
      <c r="J23" s="65">
        <v>0.224</v>
      </c>
      <c r="K23" s="48">
        <v>51.17</v>
      </c>
      <c r="L23" s="48">
        <v>5.282</v>
      </c>
      <c r="M23" s="60">
        <v>131.97</v>
      </c>
      <c r="O23" s="31"/>
      <c r="P23" s="146" t="s">
        <v>108</v>
      </c>
      <c r="Q23" s="172" t="s">
        <v>100</v>
      </c>
      <c r="R23" s="108">
        <v>13275.52</v>
      </c>
      <c r="S23" s="113">
        <v>13723.08</v>
      </c>
      <c r="T23" s="113">
        <v>13537.18</v>
      </c>
      <c r="U23" s="113">
        <f t="shared" si="2"/>
        <v>13511.926666666666</v>
      </c>
      <c r="V23" s="168">
        <f t="shared" si="3"/>
        <v>224.84613968969029</v>
      </c>
      <c r="W23" s="176"/>
      <c r="X23" s="287"/>
      <c r="Y23" s="291"/>
      <c r="Z23" s="77"/>
      <c r="AA23" s="113"/>
      <c r="AB23" s="113"/>
      <c r="AC23" s="288"/>
      <c r="AD23" s="288"/>
      <c r="AE23" s="288"/>
      <c r="AF23" s="288"/>
      <c r="AG23" s="288"/>
      <c r="AH23" s="288"/>
      <c r="AI23" s="284"/>
      <c r="AJ23" s="284"/>
      <c r="AK23" s="77"/>
      <c r="AL23" s="284"/>
      <c r="AM23" s="284"/>
      <c r="AN23" s="284"/>
      <c r="AO23" s="284"/>
      <c r="AP23" s="31"/>
      <c r="AQ23" s="31"/>
      <c r="AR23" s="31"/>
      <c r="AS23" s="113"/>
      <c r="AT23" s="31"/>
      <c r="AU23" s="31"/>
      <c r="AV23" s="32"/>
      <c r="AW23" s="32"/>
      <c r="AX23" s="32"/>
      <c r="AY23" s="32"/>
      <c r="AZ23" s="284"/>
      <c r="BA23" s="284"/>
      <c r="BB23" s="284"/>
      <c r="BC23" s="284"/>
      <c r="BD23" s="284"/>
      <c r="BE23" s="284"/>
      <c r="BF23" s="284"/>
      <c r="BG23" s="284"/>
      <c r="BH23" s="284"/>
      <c r="BI23" s="284"/>
      <c r="BJ23" s="284"/>
      <c r="BK23" s="284"/>
      <c r="BL23" s="284"/>
      <c r="BM23" s="284"/>
      <c r="BN23" s="284"/>
      <c r="BO23" s="284"/>
      <c r="BP23" s="284"/>
      <c r="BQ23" s="284"/>
    </row>
    <row r="24" spans="1:69">
      <c r="A24" s="69" t="s">
        <v>105</v>
      </c>
      <c r="B24" s="157" t="s">
        <v>101</v>
      </c>
      <c r="C24" s="99" t="s">
        <v>97</v>
      </c>
      <c r="D24" s="111">
        <v>199.94</v>
      </c>
      <c r="E24" s="112">
        <v>13875.94</v>
      </c>
      <c r="F24" s="115">
        <v>1166.5999999999999</v>
      </c>
      <c r="G24" s="112">
        <v>32748.3</v>
      </c>
      <c r="H24" s="112" t="s">
        <v>26</v>
      </c>
      <c r="I24" s="115">
        <f>716.04*2</f>
        <v>1432.08</v>
      </c>
      <c r="J24" s="63">
        <v>0.434</v>
      </c>
      <c r="K24" s="47">
        <v>107.675</v>
      </c>
      <c r="L24" s="47">
        <v>0.127</v>
      </c>
      <c r="M24" s="57">
        <v>2.0840000000000001</v>
      </c>
      <c r="O24" s="31"/>
      <c r="P24" s="146" t="s">
        <v>109</v>
      </c>
      <c r="Q24" s="172" t="s">
        <v>100</v>
      </c>
      <c r="R24" s="108">
        <v>13553.87</v>
      </c>
      <c r="S24" s="113">
        <v>14008.16</v>
      </c>
      <c r="T24" s="113">
        <v>14809.28</v>
      </c>
      <c r="U24" s="113">
        <f t="shared" si="2"/>
        <v>14123.769999999999</v>
      </c>
      <c r="V24" s="168">
        <f t="shared" si="3"/>
        <v>635.63969440241578</v>
      </c>
      <c r="W24" s="176"/>
      <c r="X24" s="287">
        <f>AVERAGE(R24:T25)</f>
        <v>12860.324999999999</v>
      </c>
      <c r="Y24" s="291" t="s">
        <v>52</v>
      </c>
      <c r="Z24" s="77"/>
      <c r="AA24" s="113"/>
      <c r="AB24" s="284"/>
      <c r="AC24" s="288"/>
      <c r="AD24" s="288"/>
      <c r="AE24" s="288"/>
      <c r="AF24" s="288"/>
      <c r="AG24" s="288"/>
      <c r="AH24" s="288"/>
      <c r="AI24" s="284"/>
      <c r="AJ24" s="284"/>
      <c r="AK24" s="77"/>
      <c r="AL24" s="284"/>
      <c r="AM24" s="284"/>
      <c r="AN24" s="284"/>
      <c r="AO24" s="284"/>
      <c r="AP24" s="31"/>
      <c r="AQ24" s="31"/>
      <c r="AR24" s="31"/>
      <c r="AS24" s="113"/>
      <c r="AT24" s="31"/>
      <c r="AU24" s="31"/>
      <c r="AV24" s="32"/>
      <c r="AW24" s="32"/>
      <c r="AX24" s="32"/>
      <c r="AY24" s="32"/>
      <c r="AZ24" s="284"/>
      <c r="BA24" s="284"/>
      <c r="BB24" s="284"/>
      <c r="BC24" s="284"/>
      <c r="BD24" s="284"/>
      <c r="BE24" s="284"/>
      <c r="BF24" s="284"/>
      <c r="BG24" s="284"/>
      <c r="BH24" s="284"/>
      <c r="BI24" s="284"/>
      <c r="BJ24" s="284"/>
      <c r="BK24" s="284"/>
      <c r="BL24" s="284"/>
      <c r="BM24" s="284"/>
      <c r="BN24" s="284"/>
      <c r="BO24" s="284"/>
      <c r="BP24" s="284"/>
      <c r="BQ24" s="284"/>
    </row>
    <row r="25" spans="1:69">
      <c r="A25" s="69" t="s">
        <v>106</v>
      </c>
      <c r="B25" s="155" t="s">
        <v>101</v>
      </c>
      <c r="C25" s="94" t="s">
        <v>97</v>
      </c>
      <c r="D25" s="107">
        <v>186.6</v>
      </c>
      <c r="E25" s="113">
        <v>14116.4</v>
      </c>
      <c r="F25" s="116">
        <v>1220.96</v>
      </c>
      <c r="G25" s="113">
        <v>30826.52</v>
      </c>
      <c r="H25" s="113" t="s">
        <v>26</v>
      </c>
      <c r="I25" s="116">
        <v>2396.96</v>
      </c>
      <c r="J25" s="64">
        <v>0.53500000000000003</v>
      </c>
      <c r="K25" s="32">
        <v>700.23</v>
      </c>
      <c r="L25" s="32">
        <v>6.8179999999999996</v>
      </c>
      <c r="M25" s="58">
        <v>35.384999999999998</v>
      </c>
      <c r="O25" s="31"/>
      <c r="P25" s="159" t="s">
        <v>110</v>
      </c>
      <c r="Q25" s="172" t="s">
        <v>100</v>
      </c>
      <c r="R25" s="108">
        <v>10363.82</v>
      </c>
      <c r="S25" s="113">
        <v>12085.94</v>
      </c>
      <c r="T25" s="113">
        <v>12340.88</v>
      </c>
      <c r="U25" s="113">
        <f t="shared" si="2"/>
        <v>11596.88</v>
      </c>
      <c r="V25" s="168">
        <f t="shared" si="3"/>
        <v>1075.4423850676355</v>
      </c>
      <c r="W25" s="176"/>
      <c r="X25" s="287"/>
      <c r="Y25" s="77"/>
      <c r="Z25" s="77"/>
      <c r="AA25" s="113"/>
      <c r="AB25" s="113"/>
      <c r="AC25" s="288"/>
      <c r="AD25" s="288"/>
      <c r="AE25" s="288"/>
      <c r="AF25" s="288"/>
      <c r="AG25" s="288"/>
      <c r="AH25" s="288"/>
      <c r="AI25" s="284"/>
      <c r="AJ25" s="284"/>
      <c r="AK25" s="77"/>
      <c r="AL25" s="284"/>
      <c r="AM25" s="284"/>
      <c r="AN25" s="284"/>
      <c r="AO25" s="284"/>
      <c r="AP25" s="31"/>
      <c r="AQ25" s="31"/>
      <c r="AR25" s="31"/>
      <c r="AS25" s="113"/>
      <c r="AT25" s="31"/>
      <c r="AU25" s="31"/>
      <c r="AV25" s="32"/>
      <c r="AW25" s="32"/>
      <c r="AX25" s="32"/>
      <c r="AY25" s="32"/>
      <c r="AZ25" s="284"/>
      <c r="BA25" s="284"/>
      <c r="BB25" s="284"/>
      <c r="BC25" s="284"/>
      <c r="BD25" s="284"/>
      <c r="BE25" s="284"/>
      <c r="BF25" s="284"/>
      <c r="BG25" s="284"/>
      <c r="BH25" s="284"/>
      <c r="BI25" s="284"/>
      <c r="BJ25" s="284"/>
      <c r="BK25" s="284"/>
      <c r="BL25" s="284"/>
      <c r="BM25" s="284"/>
      <c r="BN25" s="284"/>
      <c r="BO25" s="284"/>
      <c r="BP25" s="284"/>
      <c r="BQ25" s="284"/>
    </row>
    <row r="26" spans="1:69">
      <c r="A26" s="69" t="s">
        <v>107</v>
      </c>
      <c r="B26" s="155" t="s">
        <v>101</v>
      </c>
      <c r="C26" s="94" t="s">
        <v>97</v>
      </c>
      <c r="D26" s="107">
        <v>263.98</v>
      </c>
      <c r="E26" s="113">
        <v>19276.16</v>
      </c>
      <c r="F26" s="116">
        <v>2221.1999999999998</v>
      </c>
      <c r="G26" s="113">
        <v>108209.34</v>
      </c>
      <c r="H26" s="113">
        <v>123.66</v>
      </c>
      <c r="I26" s="116">
        <v>960.82</v>
      </c>
      <c r="J26" s="64">
        <v>0.59099999999999997</v>
      </c>
      <c r="K26" s="32">
        <v>100.182</v>
      </c>
      <c r="L26" s="32">
        <v>2.8530000000000002</v>
      </c>
      <c r="M26" s="58">
        <v>678.14700000000005</v>
      </c>
      <c r="O26" s="31"/>
      <c r="P26" s="146" t="s">
        <v>105</v>
      </c>
      <c r="Q26" s="173" t="s">
        <v>101</v>
      </c>
      <c r="R26" s="118">
        <v>15636.58</v>
      </c>
      <c r="S26" s="112">
        <v>13875.94</v>
      </c>
      <c r="T26" s="115">
        <v>14200.68</v>
      </c>
      <c r="U26" s="118">
        <f t="shared" si="2"/>
        <v>14571.066666666666</v>
      </c>
      <c r="V26" s="167">
        <f t="shared" si="3"/>
        <v>936.93810603120471</v>
      </c>
      <c r="W26" s="176"/>
      <c r="X26" s="287"/>
      <c r="Y26" s="113"/>
      <c r="Z26" s="113"/>
      <c r="AA26" s="113"/>
      <c r="AB26" s="287"/>
      <c r="AC26" s="288"/>
      <c r="AD26" s="288"/>
      <c r="AE26" s="288"/>
      <c r="AF26" s="288"/>
      <c r="AG26" s="288"/>
      <c r="AH26" s="288"/>
      <c r="AI26" s="284"/>
      <c r="AJ26" s="284"/>
      <c r="AK26" s="77"/>
      <c r="AL26" s="284"/>
      <c r="AM26" s="284"/>
      <c r="AN26" s="284"/>
      <c r="AO26" s="284"/>
      <c r="AP26" s="31"/>
      <c r="AQ26" s="31"/>
      <c r="AR26" s="31"/>
      <c r="AS26" s="113"/>
      <c r="AT26" s="31"/>
      <c r="AU26" s="31"/>
      <c r="AV26" s="32"/>
      <c r="AW26" s="32"/>
      <c r="AX26" s="32"/>
      <c r="AY26" s="32"/>
      <c r="AZ26" s="284"/>
      <c r="BA26" s="284"/>
      <c r="BB26" s="284"/>
      <c r="BC26" s="284"/>
      <c r="BD26" s="284"/>
      <c r="BE26" s="284"/>
      <c r="BF26" s="284"/>
      <c r="BG26" s="284"/>
      <c r="BH26" s="284"/>
      <c r="BI26" s="284"/>
      <c r="BJ26" s="284"/>
      <c r="BK26" s="284"/>
      <c r="BL26" s="284"/>
      <c r="BM26" s="284"/>
      <c r="BN26" s="284"/>
      <c r="BO26" s="284"/>
      <c r="BP26" s="284"/>
      <c r="BQ26" s="284"/>
    </row>
    <row r="27" spans="1:69">
      <c r="A27" s="69" t="s">
        <v>108</v>
      </c>
      <c r="B27" s="155" t="s">
        <v>101</v>
      </c>
      <c r="C27" s="94" t="s">
        <v>97</v>
      </c>
      <c r="D27" s="107">
        <v>599.62</v>
      </c>
      <c r="E27" s="113">
        <v>18045.599999999999</v>
      </c>
      <c r="F27" s="116">
        <v>2562</v>
      </c>
      <c r="G27" s="113">
        <v>104179.08</v>
      </c>
      <c r="H27" s="113">
        <v>102.1</v>
      </c>
      <c r="I27" s="116">
        <v>1554.78</v>
      </c>
      <c r="J27" s="64">
        <v>0.52900000000000003</v>
      </c>
      <c r="K27" s="32">
        <v>240.62200000000001</v>
      </c>
      <c r="L27" s="32">
        <v>5.7130000000000001</v>
      </c>
      <c r="M27" s="58">
        <v>102.041</v>
      </c>
      <c r="O27" s="31"/>
      <c r="P27" s="146" t="s">
        <v>106</v>
      </c>
      <c r="Q27" s="172" t="s">
        <v>101</v>
      </c>
      <c r="R27" s="108">
        <v>15457.42</v>
      </c>
      <c r="S27" s="113">
        <v>14116.4</v>
      </c>
      <c r="T27" s="116">
        <v>14139.3</v>
      </c>
      <c r="U27" s="108">
        <f t="shared" si="2"/>
        <v>14571.039999999999</v>
      </c>
      <c r="V27" s="168">
        <f t="shared" si="3"/>
        <v>767.71298725502402</v>
      </c>
      <c r="W27" s="176"/>
      <c r="X27" s="287"/>
      <c r="Y27" s="113"/>
      <c r="Z27" s="113"/>
      <c r="AA27" s="113"/>
      <c r="AB27" s="287"/>
      <c r="AC27" s="288"/>
      <c r="AD27" s="288"/>
      <c r="AE27" s="288"/>
      <c r="AF27" s="288"/>
      <c r="AG27" s="288"/>
      <c r="AH27" s="288"/>
      <c r="AI27" s="284"/>
      <c r="AJ27" s="284"/>
      <c r="AK27" s="77"/>
      <c r="AL27" s="284"/>
      <c r="AM27" s="284"/>
      <c r="AN27" s="284"/>
      <c r="AO27" s="284"/>
      <c r="AP27" s="31"/>
      <c r="AQ27" s="31"/>
      <c r="AR27" s="31"/>
      <c r="AS27" s="113"/>
      <c r="AT27" s="31"/>
      <c r="AU27" s="31"/>
      <c r="AV27" s="32"/>
      <c r="AW27" s="32"/>
      <c r="AX27" s="32"/>
      <c r="AY27" s="32"/>
      <c r="AZ27" s="284"/>
      <c r="BA27" s="284"/>
      <c r="BB27" s="284"/>
      <c r="BC27" s="284"/>
      <c r="BD27" s="284"/>
      <c r="BE27" s="284"/>
      <c r="BF27" s="284"/>
      <c r="BG27" s="284"/>
      <c r="BH27" s="284"/>
      <c r="BI27" s="284"/>
      <c r="BJ27" s="284"/>
      <c r="BK27" s="284"/>
      <c r="BL27" s="284"/>
      <c r="BM27" s="284"/>
      <c r="BN27" s="284"/>
      <c r="BO27" s="284"/>
      <c r="BP27" s="284"/>
      <c r="BQ27" s="284"/>
    </row>
    <row r="28" spans="1:69">
      <c r="A28" s="69" t="s">
        <v>109</v>
      </c>
      <c r="B28" s="155" t="s">
        <v>101</v>
      </c>
      <c r="C28" s="94" t="s">
        <v>97</v>
      </c>
      <c r="D28" s="107">
        <v>249.22</v>
      </c>
      <c r="E28" s="113">
        <v>15613.36</v>
      </c>
      <c r="F28" s="116">
        <v>1364.46</v>
      </c>
      <c r="G28" s="113">
        <v>53847.56</v>
      </c>
      <c r="H28" s="113">
        <v>41.1</v>
      </c>
      <c r="I28" s="116">
        <f>802.06*2</f>
        <v>1604.12</v>
      </c>
      <c r="J28" s="64">
        <v>1.079</v>
      </c>
      <c r="K28" s="32">
        <v>62.152999999999999</v>
      </c>
      <c r="L28" s="32">
        <v>1.419</v>
      </c>
      <c r="M28" s="58">
        <v>447.10700000000003</v>
      </c>
      <c r="O28" s="31"/>
      <c r="P28" s="146" t="s">
        <v>107</v>
      </c>
      <c r="Q28" s="172" t="s">
        <v>101</v>
      </c>
      <c r="R28" s="120">
        <f>11098.45*2</f>
        <v>22196.9</v>
      </c>
      <c r="S28" s="113">
        <v>19276.16</v>
      </c>
      <c r="T28" s="116">
        <v>17469.240000000002</v>
      </c>
      <c r="U28" s="108">
        <f t="shared" si="2"/>
        <v>19647.433333333334</v>
      </c>
      <c r="V28" s="168">
        <f t="shared" si="3"/>
        <v>2385.5974482157094</v>
      </c>
      <c r="W28" s="176"/>
      <c r="X28" s="287"/>
      <c r="Y28" s="113"/>
      <c r="Z28" s="113"/>
      <c r="AA28" s="113"/>
      <c r="AB28" s="113"/>
      <c r="AC28" s="288"/>
      <c r="AD28" s="288"/>
      <c r="AE28" s="288"/>
      <c r="AF28" s="288"/>
      <c r="AG28" s="288"/>
      <c r="AH28" s="288"/>
      <c r="AI28" s="284"/>
      <c r="AJ28" s="284"/>
      <c r="AK28" s="77"/>
      <c r="AL28" s="284"/>
      <c r="AM28" s="284"/>
      <c r="AN28" s="284"/>
      <c r="AO28" s="284"/>
      <c r="AP28" s="31"/>
      <c r="AQ28" s="31"/>
      <c r="AR28" s="31"/>
      <c r="AS28" s="113"/>
      <c r="AT28" s="31"/>
      <c r="AU28" s="31"/>
      <c r="AV28" s="32"/>
      <c r="AW28" s="32"/>
      <c r="AX28" s="32"/>
      <c r="AY28" s="32"/>
      <c r="AZ28" s="284"/>
      <c r="BA28" s="284"/>
      <c r="BB28" s="284"/>
      <c r="BC28" s="284"/>
      <c r="BD28" s="284"/>
      <c r="BE28" s="284"/>
      <c r="BF28" s="284"/>
      <c r="BG28" s="284"/>
      <c r="BH28" s="284"/>
      <c r="BI28" s="284"/>
      <c r="BJ28" s="284"/>
      <c r="BK28" s="284"/>
      <c r="BL28" s="284"/>
      <c r="BM28" s="284"/>
      <c r="BN28" s="284"/>
      <c r="BO28" s="284"/>
      <c r="BP28" s="284"/>
      <c r="BQ28" s="284"/>
    </row>
    <row r="29" spans="1:69">
      <c r="A29" s="70" t="s">
        <v>110</v>
      </c>
      <c r="B29" s="156" t="s">
        <v>101</v>
      </c>
      <c r="C29" s="95" t="s">
        <v>97</v>
      </c>
      <c r="D29" s="110">
        <v>684.6</v>
      </c>
      <c r="E29" s="114">
        <v>15131</v>
      </c>
      <c r="F29" s="117">
        <v>1460.6</v>
      </c>
      <c r="G29" s="114">
        <v>55091.86</v>
      </c>
      <c r="H29" s="114" t="s">
        <v>26</v>
      </c>
      <c r="I29" s="117">
        <v>2013.86</v>
      </c>
      <c r="J29" s="65">
        <v>0.32200000000000001</v>
      </c>
      <c r="K29" s="48">
        <v>64.271000000000001</v>
      </c>
      <c r="L29" s="48">
        <v>4.6369999999999996</v>
      </c>
      <c r="M29" s="60">
        <v>36.475000000000001</v>
      </c>
      <c r="O29" s="31"/>
      <c r="P29" s="146" t="s">
        <v>108</v>
      </c>
      <c r="Q29" s="172" t="s">
        <v>101</v>
      </c>
      <c r="R29" s="108">
        <v>19226.96</v>
      </c>
      <c r="S29" s="113">
        <v>18045.599999999999</v>
      </c>
      <c r="T29" s="116">
        <v>15065.94</v>
      </c>
      <c r="U29" s="108">
        <f t="shared" si="2"/>
        <v>17446.166666666668</v>
      </c>
      <c r="V29" s="168">
        <f t="shared" si="3"/>
        <v>2144.2975775141972</v>
      </c>
      <c r="W29" s="176"/>
      <c r="X29" s="287"/>
      <c r="Y29" s="113"/>
      <c r="Z29" s="113"/>
      <c r="AA29" s="113"/>
      <c r="AB29" s="113"/>
      <c r="AC29" s="288"/>
      <c r="AD29" s="288"/>
      <c r="AE29" s="288"/>
      <c r="AF29" s="288"/>
      <c r="AG29" s="288"/>
      <c r="AH29" s="288"/>
      <c r="AI29" s="284"/>
      <c r="AJ29" s="284"/>
      <c r="AK29" s="77"/>
      <c r="AL29" s="284"/>
      <c r="AM29" s="284"/>
      <c r="AN29" s="284"/>
      <c r="AO29" s="284"/>
      <c r="AP29" s="31"/>
      <c r="AQ29" s="31"/>
      <c r="AR29" s="31"/>
      <c r="AS29" s="113"/>
      <c r="AT29" s="31"/>
      <c r="AU29" s="31"/>
      <c r="AV29" s="32"/>
      <c r="AW29" s="31"/>
      <c r="AX29" s="32"/>
      <c r="AY29" s="31"/>
      <c r="AZ29" s="284"/>
      <c r="BA29" s="284"/>
      <c r="BB29" s="284"/>
      <c r="BC29" s="284"/>
      <c r="BD29" s="284"/>
      <c r="BE29" s="284"/>
      <c r="BF29" s="284"/>
      <c r="BG29" s="284"/>
      <c r="BH29" s="284"/>
      <c r="BI29" s="284"/>
      <c r="BJ29" s="284"/>
      <c r="BK29" s="284"/>
      <c r="BL29" s="284"/>
      <c r="BM29" s="284"/>
      <c r="BN29" s="284"/>
      <c r="BO29" s="284"/>
      <c r="BP29" s="284"/>
      <c r="BQ29" s="284"/>
    </row>
    <row r="30" spans="1:69">
      <c r="A30" s="69" t="s">
        <v>105</v>
      </c>
      <c r="B30" s="155" t="s">
        <v>100</v>
      </c>
      <c r="C30" s="94" t="s">
        <v>98</v>
      </c>
      <c r="D30" s="113">
        <f>93.95*2</f>
        <v>187.9</v>
      </c>
      <c r="E30" s="113">
        <v>13068.24</v>
      </c>
      <c r="F30" s="116">
        <v>1089.1199999999999</v>
      </c>
      <c r="G30" s="107">
        <v>33009.199999999997</v>
      </c>
      <c r="H30" s="113" t="s">
        <v>26</v>
      </c>
      <c r="I30" s="116">
        <v>694.92</v>
      </c>
      <c r="J30" s="64">
        <v>0.55800000000000005</v>
      </c>
      <c r="K30" s="32">
        <v>54.591000000000001</v>
      </c>
      <c r="L30" s="32">
        <v>0.33100000000000002</v>
      </c>
      <c r="M30" s="58">
        <v>3.4580000000000002</v>
      </c>
      <c r="O30" s="31"/>
      <c r="P30" s="146" t="s">
        <v>109</v>
      </c>
      <c r="Q30" s="162" t="s">
        <v>101</v>
      </c>
      <c r="R30" s="120">
        <v>15613.34</v>
      </c>
      <c r="S30" s="113">
        <v>15613.36</v>
      </c>
      <c r="T30" s="116">
        <v>15422.64</v>
      </c>
      <c r="U30" s="108">
        <f t="shared" si="2"/>
        <v>15549.779999999999</v>
      </c>
      <c r="V30" s="166">
        <f t="shared" si="3"/>
        <v>110.10647029166091</v>
      </c>
      <c r="W30" s="176"/>
      <c r="X30" s="287"/>
      <c r="Y30" s="113"/>
      <c r="Z30" s="113"/>
      <c r="AA30" s="113"/>
      <c r="AB30" s="287"/>
      <c r="AC30" s="288"/>
      <c r="AD30" s="288"/>
      <c r="AE30" s="288"/>
      <c r="AF30" s="288"/>
      <c r="AG30" s="288"/>
      <c r="AH30" s="288"/>
      <c r="AI30" s="284"/>
      <c r="AJ30" s="284"/>
      <c r="AK30" s="77"/>
      <c r="AL30" s="284"/>
      <c r="AM30" s="284"/>
      <c r="AN30" s="284"/>
      <c r="AO30" s="284"/>
      <c r="AP30" s="31"/>
      <c r="AQ30" s="31"/>
      <c r="AR30" s="31"/>
      <c r="AS30" s="113"/>
      <c r="AT30" s="31"/>
      <c r="AU30" s="31"/>
      <c r="AV30" s="32"/>
      <c r="AW30" s="32"/>
      <c r="AX30" s="32"/>
      <c r="AY30" s="32"/>
      <c r="AZ30" s="284"/>
      <c r="BA30" s="284"/>
      <c r="BB30" s="284"/>
      <c r="BC30" s="284"/>
      <c r="BD30" s="284"/>
      <c r="BE30" s="284"/>
      <c r="BF30" s="284"/>
      <c r="BG30" s="284"/>
      <c r="BH30" s="284"/>
      <c r="BI30" s="284"/>
      <c r="BJ30" s="284"/>
      <c r="BK30" s="284"/>
      <c r="BL30" s="284"/>
      <c r="BM30" s="284"/>
      <c r="BN30" s="284"/>
      <c r="BO30" s="284"/>
      <c r="BP30" s="284"/>
      <c r="BQ30" s="284"/>
    </row>
    <row r="31" spans="1:69">
      <c r="A31" s="69" t="s">
        <v>106</v>
      </c>
      <c r="B31" s="155" t="s">
        <v>100</v>
      </c>
      <c r="C31" s="94" t="s">
        <v>98</v>
      </c>
      <c r="D31" s="113">
        <f>101.77*2</f>
        <v>203.54</v>
      </c>
      <c r="E31" s="113">
        <v>12775.68</v>
      </c>
      <c r="F31" s="116">
        <v>1263.3800000000001</v>
      </c>
      <c r="G31" s="107">
        <v>35237.040000000001</v>
      </c>
      <c r="H31" s="113" t="s">
        <v>26</v>
      </c>
      <c r="I31" s="116">
        <v>876.6</v>
      </c>
      <c r="J31" s="64">
        <v>0.28599999999999998</v>
      </c>
      <c r="K31" s="32">
        <v>285.97199999999998</v>
      </c>
      <c r="L31" s="32">
        <v>1.79</v>
      </c>
      <c r="M31" s="58">
        <v>8.4179999999999993</v>
      </c>
      <c r="O31" s="31"/>
      <c r="P31" s="146" t="s">
        <v>110</v>
      </c>
      <c r="Q31" s="162" t="s">
        <v>101</v>
      </c>
      <c r="R31" s="120">
        <v>15096.9</v>
      </c>
      <c r="S31" s="113">
        <v>15131</v>
      </c>
      <c r="T31" s="116">
        <v>15824.3</v>
      </c>
      <c r="U31" s="108">
        <f t="shared" si="2"/>
        <v>15350.733333333332</v>
      </c>
      <c r="V31" s="166">
        <f t="shared" si="3"/>
        <v>410.47502157061797</v>
      </c>
      <c r="W31" s="176"/>
      <c r="X31" s="287"/>
      <c r="Y31" s="113"/>
      <c r="Z31" s="113"/>
      <c r="AA31" s="113"/>
      <c r="AB31" s="287"/>
      <c r="AC31" s="288"/>
      <c r="AD31" s="288"/>
      <c r="AE31" s="288"/>
      <c r="AF31" s="288"/>
      <c r="AG31" s="288"/>
      <c r="AH31" s="288"/>
      <c r="AI31" s="284"/>
      <c r="AJ31" s="284"/>
      <c r="AK31" s="77"/>
      <c r="AL31" s="284"/>
      <c r="AM31" s="284"/>
      <c r="AN31" s="284"/>
      <c r="AO31" s="284"/>
      <c r="AP31" s="31"/>
      <c r="AQ31" s="31"/>
      <c r="AR31" s="31"/>
      <c r="AS31" s="113"/>
      <c r="AT31" s="31"/>
      <c r="AU31" s="31"/>
      <c r="AV31" s="32"/>
      <c r="AW31" s="32"/>
      <c r="AX31" s="32"/>
      <c r="AY31" s="31"/>
      <c r="AZ31" s="284"/>
      <c r="BA31" s="284"/>
      <c r="BB31" s="284"/>
      <c r="BC31" s="284"/>
      <c r="BD31" s="284"/>
      <c r="BE31" s="284"/>
      <c r="BF31" s="284"/>
      <c r="BG31" s="284"/>
      <c r="BH31" s="284"/>
      <c r="BI31" s="284"/>
      <c r="BJ31" s="284"/>
      <c r="BK31" s="284"/>
      <c r="BL31" s="284"/>
      <c r="BM31" s="284"/>
      <c r="BN31" s="284"/>
      <c r="BO31" s="284"/>
      <c r="BP31" s="284"/>
      <c r="BQ31" s="284"/>
    </row>
    <row r="32" spans="1:69">
      <c r="A32" s="69" t="s">
        <v>107</v>
      </c>
      <c r="B32" s="155" t="s">
        <v>100</v>
      </c>
      <c r="C32" s="94" t="s">
        <v>98</v>
      </c>
      <c r="D32" s="55" t="s">
        <v>26</v>
      </c>
      <c r="E32" s="113" t="s">
        <v>26</v>
      </c>
      <c r="F32" s="116" t="s">
        <v>26</v>
      </c>
      <c r="G32" s="107" t="s">
        <v>26</v>
      </c>
      <c r="H32" s="113">
        <v>173.88</v>
      </c>
      <c r="I32" s="116">
        <v>406.02</v>
      </c>
      <c r="J32" s="64">
        <v>0.55700000000000005</v>
      </c>
      <c r="K32" s="32" t="s">
        <v>26</v>
      </c>
      <c r="L32" s="32">
        <v>4.25</v>
      </c>
      <c r="M32" s="58" t="s">
        <v>26</v>
      </c>
      <c r="O32" s="31"/>
      <c r="P32" s="258"/>
      <c r="Q32" s="171"/>
      <c r="R32" s="113"/>
      <c r="S32" s="113"/>
      <c r="T32" s="113"/>
      <c r="U32" s="113"/>
      <c r="V32" s="19"/>
      <c r="W32" s="246"/>
      <c r="X32" s="287"/>
      <c r="Y32" s="113"/>
      <c r="Z32" s="113"/>
      <c r="AA32" s="113"/>
      <c r="AB32" s="287"/>
      <c r="AC32" s="288"/>
      <c r="AD32" s="288"/>
      <c r="AE32" s="288"/>
      <c r="AF32" s="288"/>
      <c r="AG32" s="288"/>
      <c r="AH32" s="288"/>
      <c r="AI32" s="284"/>
      <c r="AJ32" s="284"/>
      <c r="AK32" s="77"/>
      <c r="AL32" s="284"/>
      <c r="AM32" s="284"/>
      <c r="AN32" s="284"/>
      <c r="AO32" s="284"/>
      <c r="AP32" s="31"/>
      <c r="AQ32" s="31"/>
      <c r="AR32" s="31"/>
      <c r="AS32" s="113"/>
      <c r="AT32" s="31"/>
      <c r="AU32" s="31"/>
      <c r="AV32" s="32"/>
      <c r="AW32" s="32"/>
      <c r="AX32" s="32"/>
      <c r="AY32" s="32"/>
      <c r="AZ32" s="284"/>
      <c r="BA32" s="284"/>
      <c r="BB32" s="284"/>
      <c r="BC32" s="284"/>
      <c r="BD32" s="284"/>
      <c r="BE32" s="284"/>
      <c r="BF32" s="284"/>
      <c r="BG32" s="284"/>
      <c r="BH32" s="284"/>
      <c r="BI32" s="284"/>
      <c r="BJ32" s="284"/>
      <c r="BK32" s="284"/>
      <c r="BL32" s="284"/>
      <c r="BM32" s="284"/>
      <c r="BN32" s="284"/>
      <c r="BO32" s="284"/>
      <c r="BP32" s="284"/>
      <c r="BQ32" s="284"/>
    </row>
    <row r="33" spans="1:69">
      <c r="A33" s="69" t="s">
        <v>108</v>
      </c>
      <c r="B33" s="155" t="s">
        <v>100</v>
      </c>
      <c r="C33" s="94" t="s">
        <v>98</v>
      </c>
      <c r="D33" s="55" t="s">
        <v>26</v>
      </c>
      <c r="E33" s="113">
        <v>13537.18</v>
      </c>
      <c r="F33" s="116">
        <v>1731.18</v>
      </c>
      <c r="G33" s="107">
        <v>117155.24</v>
      </c>
      <c r="H33" s="113">
        <v>144.02000000000001</v>
      </c>
      <c r="I33" s="116">
        <v>428.4</v>
      </c>
      <c r="J33" s="64">
        <v>0.191</v>
      </c>
      <c r="K33" s="32">
        <v>62.268000000000001</v>
      </c>
      <c r="L33" s="32">
        <v>4.9960000000000004</v>
      </c>
      <c r="M33" s="58">
        <v>272.995</v>
      </c>
      <c r="O33" s="31"/>
      <c r="P33" s="171"/>
      <c r="Q33" s="171"/>
      <c r="R33" s="113"/>
      <c r="S33" s="113"/>
      <c r="T33" s="113"/>
      <c r="U33" s="113"/>
      <c r="V33" s="19"/>
      <c r="W33" s="246"/>
      <c r="X33" s="287"/>
      <c r="Y33" s="113"/>
      <c r="Z33" s="113"/>
      <c r="AA33" s="113"/>
      <c r="AB33" s="287"/>
      <c r="AC33" s="288"/>
      <c r="AD33" s="288"/>
      <c r="AE33" s="288"/>
      <c r="AF33" s="288"/>
      <c r="AG33" s="288"/>
      <c r="AH33" s="288"/>
      <c r="AI33" s="284"/>
      <c r="AJ33" s="284"/>
      <c r="AK33" s="77"/>
      <c r="AL33" s="284"/>
      <c r="AM33" s="284"/>
      <c r="AN33" s="284"/>
      <c r="AO33" s="284"/>
      <c r="AP33" s="32"/>
      <c r="AQ33" s="32"/>
      <c r="AR33" s="32"/>
      <c r="AS33" s="109"/>
      <c r="AT33" s="32"/>
      <c r="AU33" s="32"/>
      <c r="AV33" s="32"/>
      <c r="AW33" s="32"/>
      <c r="AX33" s="32"/>
      <c r="AY33" s="32"/>
      <c r="AZ33" s="284"/>
      <c r="BA33" s="284"/>
      <c r="BB33" s="284"/>
      <c r="BC33" s="284"/>
      <c r="BD33" s="284"/>
      <c r="BE33" s="284"/>
      <c r="BF33" s="284"/>
      <c r="BG33" s="284"/>
      <c r="BH33" s="284"/>
      <c r="BI33" s="284"/>
      <c r="BJ33" s="284"/>
      <c r="BK33" s="284"/>
      <c r="BL33" s="284"/>
      <c r="BM33" s="284"/>
      <c r="BN33" s="284"/>
      <c r="BO33" s="284"/>
      <c r="BP33" s="284"/>
      <c r="BQ33" s="284"/>
    </row>
    <row r="34" spans="1:69">
      <c r="A34" s="69" t="s">
        <v>109</v>
      </c>
      <c r="B34" s="155" t="s">
        <v>100</v>
      </c>
      <c r="C34" s="94" t="s">
        <v>98</v>
      </c>
      <c r="D34" s="113">
        <f>165.61*2</f>
        <v>331.22</v>
      </c>
      <c r="E34" s="113">
        <v>14809.28</v>
      </c>
      <c r="F34" s="116">
        <v>1257</v>
      </c>
      <c r="G34" s="107">
        <v>56241.46</v>
      </c>
      <c r="H34" s="113">
        <v>50.48</v>
      </c>
      <c r="I34" s="116">
        <v>1537.18</v>
      </c>
      <c r="J34" s="64">
        <v>1.34</v>
      </c>
      <c r="K34" s="32">
        <v>46.11</v>
      </c>
      <c r="L34" s="32">
        <v>3.4609999999999999</v>
      </c>
      <c r="M34" s="50">
        <v>825.58100000000002</v>
      </c>
      <c r="O34" s="31"/>
      <c r="P34" s="171"/>
      <c r="Q34" s="258"/>
      <c r="R34" s="113"/>
      <c r="S34" s="113"/>
      <c r="T34" s="113"/>
      <c r="U34" s="113"/>
      <c r="V34" s="31"/>
      <c r="W34" s="246"/>
      <c r="X34" s="287"/>
      <c r="Y34" s="113"/>
      <c r="Z34" s="113"/>
      <c r="AA34" s="113"/>
      <c r="AB34" s="287"/>
      <c r="AC34" s="288"/>
      <c r="AD34" s="288"/>
      <c r="AE34" s="288"/>
      <c r="AF34" s="288"/>
      <c r="AG34" s="288"/>
      <c r="AH34" s="288"/>
      <c r="AI34" s="284"/>
      <c r="AJ34" s="284"/>
      <c r="AK34" s="77"/>
      <c r="AL34" s="284"/>
      <c r="AM34" s="284"/>
      <c r="AN34" s="284"/>
      <c r="AO34" s="284"/>
      <c r="AP34" s="32"/>
      <c r="AQ34" s="32"/>
      <c r="AR34" s="32"/>
      <c r="AS34" s="109"/>
      <c r="AT34" s="31"/>
      <c r="AU34" s="32"/>
      <c r="AV34" s="32"/>
      <c r="AW34" s="32"/>
      <c r="AX34" s="32"/>
      <c r="AY34" s="32"/>
      <c r="AZ34" s="284"/>
      <c r="BA34" s="285"/>
      <c r="BB34" s="284"/>
      <c r="BC34" s="284"/>
      <c r="BD34" s="284"/>
      <c r="BE34" s="284"/>
      <c r="BF34" s="284"/>
      <c r="BG34" s="284"/>
      <c r="BH34" s="284"/>
      <c r="BI34" s="284"/>
      <c r="BJ34" s="284"/>
      <c r="BK34" s="284"/>
      <c r="BL34" s="284"/>
      <c r="BM34" s="284"/>
      <c r="BN34" s="284"/>
      <c r="BO34" s="284"/>
      <c r="BP34" s="284"/>
      <c r="BQ34" s="284"/>
    </row>
    <row r="35" spans="1:69" ht="15" customHeight="1">
      <c r="A35" s="70" t="s">
        <v>110</v>
      </c>
      <c r="B35" s="156" t="s">
        <v>100</v>
      </c>
      <c r="C35" s="95" t="s">
        <v>98</v>
      </c>
      <c r="D35" s="114">
        <f>938.3*2</f>
        <v>1876.6</v>
      </c>
      <c r="E35" s="114">
        <v>12340.88</v>
      </c>
      <c r="F35" s="117">
        <v>849.18</v>
      </c>
      <c r="G35" s="110">
        <v>56142.68</v>
      </c>
      <c r="H35" s="114">
        <v>42.6</v>
      </c>
      <c r="I35" s="117">
        <v>1486.3</v>
      </c>
      <c r="J35" s="65">
        <v>0.20499999999999999</v>
      </c>
      <c r="K35" s="48">
        <v>54.753</v>
      </c>
      <c r="L35" s="48">
        <v>3.984</v>
      </c>
      <c r="M35" s="60">
        <v>126.01900000000001</v>
      </c>
      <c r="O35" s="252" t="s">
        <v>126</v>
      </c>
      <c r="P35" s="259" t="s">
        <v>55</v>
      </c>
      <c r="Q35" s="260" t="s">
        <v>99</v>
      </c>
      <c r="R35" s="255" t="s">
        <v>96</v>
      </c>
      <c r="S35" s="256" t="s">
        <v>97</v>
      </c>
      <c r="T35" s="255" t="s">
        <v>98</v>
      </c>
      <c r="U35" s="261" t="s">
        <v>127</v>
      </c>
      <c r="V35" s="262" t="s">
        <v>128</v>
      </c>
      <c r="W35" s="176"/>
      <c r="X35" s="287"/>
      <c r="Y35" s="113"/>
      <c r="Z35" s="113"/>
      <c r="AA35" s="113"/>
      <c r="AB35" s="287"/>
      <c r="AC35" s="160"/>
      <c r="AD35" s="182"/>
      <c r="AE35" s="182"/>
      <c r="AF35" s="30"/>
      <c r="AG35" s="182"/>
      <c r="AH35" s="182"/>
      <c r="AI35" s="182"/>
      <c r="AJ35" s="54"/>
      <c r="AK35" s="77"/>
      <c r="AL35" s="284"/>
      <c r="AM35" s="284"/>
      <c r="AN35" s="284"/>
      <c r="AO35" s="284"/>
      <c r="AP35" s="32"/>
      <c r="AQ35" s="32"/>
      <c r="AR35" s="32"/>
      <c r="AS35" s="109"/>
      <c r="AT35" s="32"/>
      <c r="AU35" s="32"/>
      <c r="AV35" s="32"/>
      <c r="AW35" s="32"/>
      <c r="AX35" s="32"/>
      <c r="AY35" s="32"/>
      <c r="AZ35" s="284"/>
      <c r="BA35" s="284"/>
      <c r="BB35" s="284"/>
      <c r="BC35" s="284"/>
      <c r="BD35" s="284"/>
      <c r="BE35" s="284"/>
      <c r="BF35" s="284"/>
      <c r="BG35" s="284"/>
      <c r="BH35" s="284"/>
      <c r="BI35" s="284"/>
      <c r="BJ35" s="284"/>
      <c r="BK35" s="284"/>
      <c r="BL35" s="284"/>
      <c r="BM35" s="284"/>
      <c r="BN35" s="284"/>
      <c r="BO35" s="284"/>
      <c r="BP35" s="284"/>
      <c r="BQ35" s="284"/>
    </row>
    <row r="36" spans="1:69">
      <c r="A36" s="69" t="s">
        <v>105</v>
      </c>
      <c r="B36" s="157" t="s">
        <v>101</v>
      </c>
      <c r="C36" s="99" t="s">
        <v>98</v>
      </c>
      <c r="D36" s="119">
        <v>153.04</v>
      </c>
      <c r="E36" s="119">
        <v>14200.68</v>
      </c>
      <c r="F36" s="122">
        <v>1111.0999999999999</v>
      </c>
      <c r="G36" s="121">
        <v>31969.82</v>
      </c>
      <c r="H36" s="119">
        <v>18.559999999999999</v>
      </c>
      <c r="I36" s="122">
        <v>1362.96</v>
      </c>
      <c r="J36" s="63">
        <v>0.42799999999999999</v>
      </c>
      <c r="K36" s="47">
        <v>86.733000000000004</v>
      </c>
      <c r="L36" s="47">
        <v>0.155</v>
      </c>
      <c r="M36" s="57">
        <v>5.0350000000000001</v>
      </c>
      <c r="O36" s="31"/>
      <c r="P36" s="146" t="s">
        <v>105</v>
      </c>
      <c r="Q36" s="172" t="s">
        <v>100</v>
      </c>
      <c r="R36" s="111">
        <v>79.8</v>
      </c>
      <c r="S36" s="112">
        <v>97.58</v>
      </c>
      <c r="T36" s="115">
        <v>187.9</v>
      </c>
      <c r="U36" s="113">
        <f t="shared" ref="U36:U47" si="4">AVERAGE(R36:T36)</f>
        <v>121.75999999999999</v>
      </c>
      <c r="V36" s="168">
        <f t="shared" ref="V36:V47" si="5">STDEV(R36:T36)</f>
        <v>57.9647030528062</v>
      </c>
      <c r="W36" s="176"/>
      <c r="X36" s="287">
        <f t="shared" ref="X36:X88" si="6">AVERAGE(R36:T37)</f>
        <v>131.30166666666665</v>
      </c>
      <c r="Y36" s="290" t="s">
        <v>53</v>
      </c>
      <c r="Z36" s="113"/>
      <c r="AA36" s="113"/>
      <c r="AB36" s="287"/>
      <c r="AC36" s="77"/>
      <c r="AD36" s="31"/>
      <c r="AE36" s="31"/>
      <c r="AF36" s="31"/>
      <c r="AG36" s="31"/>
      <c r="AH36" s="31"/>
      <c r="AI36" s="31"/>
      <c r="AJ36" s="32"/>
      <c r="AK36" s="77"/>
      <c r="AL36" s="284"/>
      <c r="AM36" s="284"/>
      <c r="AN36" s="284"/>
      <c r="AO36" s="284"/>
      <c r="AP36" s="32"/>
      <c r="AQ36" s="32"/>
      <c r="AR36" s="32"/>
      <c r="AS36" s="113"/>
      <c r="AT36" s="32"/>
      <c r="AU36" s="32"/>
      <c r="AV36" s="32"/>
      <c r="AW36" s="32"/>
      <c r="AX36" s="32"/>
      <c r="AY36" s="32"/>
      <c r="AZ36" s="284"/>
      <c r="BA36" s="284"/>
      <c r="BB36" s="284"/>
      <c r="BC36" s="284"/>
      <c r="BD36" s="284"/>
      <c r="BE36" s="284"/>
      <c r="BF36" s="284"/>
      <c r="BG36" s="284"/>
      <c r="BH36" s="284"/>
      <c r="BI36" s="284"/>
      <c r="BJ36" s="284"/>
      <c r="BK36" s="284"/>
      <c r="BL36" s="284"/>
      <c r="BM36" s="284"/>
      <c r="BN36" s="284"/>
      <c r="BO36" s="284"/>
      <c r="BP36" s="284"/>
      <c r="BQ36" s="284"/>
    </row>
    <row r="37" spans="1:69">
      <c r="A37" s="69" t="s">
        <v>106</v>
      </c>
      <c r="B37" s="155" t="s">
        <v>101</v>
      </c>
      <c r="C37" s="94" t="s">
        <v>98</v>
      </c>
      <c r="D37" s="109">
        <v>122.76</v>
      </c>
      <c r="E37" s="109">
        <v>14139.3</v>
      </c>
      <c r="F37" s="124">
        <v>1205.5</v>
      </c>
      <c r="G37" s="123">
        <v>28797.72</v>
      </c>
      <c r="H37" s="109"/>
      <c r="I37" s="124">
        <v>2562.84</v>
      </c>
      <c r="J37" s="64">
        <v>0.48299999999999998</v>
      </c>
      <c r="K37" s="32">
        <v>642.13699999999994</v>
      </c>
      <c r="L37" s="32">
        <v>6.2439999999999998</v>
      </c>
      <c r="M37" s="58">
        <v>47.64</v>
      </c>
      <c r="O37" s="31"/>
      <c r="P37" s="146" t="s">
        <v>106</v>
      </c>
      <c r="Q37" s="172" t="s">
        <v>100</v>
      </c>
      <c r="R37" s="107">
        <v>118.9</v>
      </c>
      <c r="S37" s="113">
        <v>100.09</v>
      </c>
      <c r="T37" s="116">
        <v>203.54</v>
      </c>
      <c r="U37" s="113">
        <f t="shared" si="4"/>
        <v>140.84333333333333</v>
      </c>
      <c r="V37" s="168">
        <f t="shared" si="5"/>
        <v>55.10542653254155</v>
      </c>
      <c r="W37" s="176"/>
      <c r="X37" s="287"/>
      <c r="Y37" s="291"/>
      <c r="Z37" s="113"/>
      <c r="AA37" s="113"/>
      <c r="AB37" s="287"/>
      <c r="AC37" s="77"/>
      <c r="AD37" s="31"/>
      <c r="AE37" s="31"/>
      <c r="AF37" s="31"/>
      <c r="AG37" s="31"/>
      <c r="AH37" s="31"/>
      <c r="AI37" s="31"/>
      <c r="AJ37" s="32"/>
      <c r="AK37" s="77"/>
      <c r="AL37" s="284"/>
      <c r="AM37" s="284"/>
      <c r="AN37" s="284"/>
      <c r="AO37" s="284"/>
      <c r="AP37" s="32"/>
      <c r="AQ37" s="32"/>
      <c r="AR37" s="32"/>
      <c r="AS37" s="109"/>
      <c r="AT37" s="32"/>
      <c r="AU37" s="32"/>
      <c r="AV37" s="32"/>
      <c r="AW37" s="32"/>
      <c r="AX37" s="32"/>
      <c r="AY37" s="32"/>
      <c r="AZ37" s="284"/>
      <c r="BA37" s="284"/>
      <c r="BB37" s="284"/>
      <c r="BC37" s="284"/>
      <c r="BD37" s="284"/>
      <c r="BE37" s="284"/>
      <c r="BF37" s="284"/>
      <c r="BG37" s="284"/>
      <c r="BH37" s="284"/>
      <c r="BI37" s="284"/>
      <c r="BJ37" s="284"/>
      <c r="BK37" s="284"/>
      <c r="BL37" s="284"/>
      <c r="BM37" s="284"/>
      <c r="BN37" s="284"/>
      <c r="BO37" s="284"/>
      <c r="BP37" s="284"/>
      <c r="BQ37" s="284"/>
    </row>
    <row r="38" spans="1:69">
      <c r="A38" s="69" t="s">
        <v>107</v>
      </c>
      <c r="B38" s="155" t="s">
        <v>101</v>
      </c>
      <c r="C38" s="94" t="s">
        <v>98</v>
      </c>
      <c r="D38" s="109">
        <v>245.74</v>
      </c>
      <c r="E38" s="109">
        <v>17469.240000000002</v>
      </c>
      <c r="F38" s="124">
        <v>1908.42</v>
      </c>
      <c r="G38" s="123">
        <v>96544.88</v>
      </c>
      <c r="H38" s="109">
        <v>117.06</v>
      </c>
      <c r="I38" s="124">
        <v>602.82000000000005</v>
      </c>
      <c r="J38" s="64">
        <v>0.47399999999999998</v>
      </c>
      <c r="K38" s="32">
        <v>66.641999999999996</v>
      </c>
      <c r="L38" s="32">
        <v>2.0329999999999999</v>
      </c>
      <c r="M38" s="58">
        <v>1080.0319999999999</v>
      </c>
      <c r="O38" s="31"/>
      <c r="P38" s="146" t="s">
        <v>107</v>
      </c>
      <c r="Q38" s="172" t="s">
        <v>100</v>
      </c>
      <c r="R38" s="107">
        <v>309.52</v>
      </c>
      <c r="S38" s="113">
        <v>227.89</v>
      </c>
      <c r="T38" s="108" t="s">
        <v>26</v>
      </c>
      <c r="U38" s="113">
        <f>AVERAGE(R38:S38)</f>
        <v>268.70499999999998</v>
      </c>
      <c r="V38" s="168">
        <f>STDEV(R38:S38)</f>
        <v>57.721126548257828</v>
      </c>
      <c r="W38" s="244"/>
      <c r="X38" s="287">
        <f t="shared" si="6"/>
        <v>901.34500000000003</v>
      </c>
      <c r="Y38" s="291" t="s">
        <v>54</v>
      </c>
      <c r="Z38" s="283"/>
      <c r="AA38" s="283"/>
      <c r="AB38" s="283"/>
      <c r="AC38" s="77"/>
      <c r="AD38" s="31"/>
      <c r="AE38" s="31"/>
      <c r="AF38" s="31"/>
      <c r="AG38" s="31"/>
      <c r="AH38" s="31"/>
      <c r="AI38" s="31"/>
      <c r="AJ38" s="32"/>
      <c r="AK38" s="77"/>
      <c r="AL38" s="284"/>
      <c r="AM38" s="284"/>
      <c r="AN38" s="284"/>
      <c r="AO38" s="284"/>
      <c r="AP38" s="32"/>
      <c r="AQ38" s="32"/>
      <c r="AR38" s="32"/>
      <c r="AS38" s="109"/>
      <c r="AT38" s="32"/>
      <c r="AU38" s="32"/>
      <c r="AV38" s="32"/>
      <c r="AW38" s="32"/>
      <c r="AX38" s="31"/>
      <c r="AY38" s="32"/>
      <c r="AZ38" s="284"/>
      <c r="BA38" s="284"/>
      <c r="BB38" s="284"/>
      <c r="BC38" s="284"/>
      <c r="BD38" s="284"/>
      <c r="BE38" s="284"/>
      <c r="BF38" s="284"/>
      <c r="BG38" s="284"/>
      <c r="BH38" s="284"/>
      <c r="BI38" s="284"/>
      <c r="BJ38" s="284"/>
      <c r="BK38" s="284"/>
      <c r="BL38" s="284"/>
      <c r="BM38" s="284"/>
      <c r="BN38" s="284"/>
      <c r="BO38" s="284"/>
      <c r="BP38" s="284"/>
      <c r="BQ38" s="284"/>
    </row>
    <row r="39" spans="1:69">
      <c r="A39" s="69" t="s">
        <v>108</v>
      </c>
      <c r="B39" s="155" t="s">
        <v>101</v>
      </c>
      <c r="C39" s="94" t="s">
        <v>98</v>
      </c>
      <c r="D39" s="109">
        <v>576.88</v>
      </c>
      <c r="E39" s="109">
        <v>15065.94</v>
      </c>
      <c r="F39" s="124">
        <v>2215.48</v>
      </c>
      <c r="G39" s="123"/>
      <c r="H39" s="109" t="s">
        <v>26</v>
      </c>
      <c r="I39" s="124">
        <v>1238.1400000000001</v>
      </c>
      <c r="J39" s="64">
        <v>0.41899999999999998</v>
      </c>
      <c r="K39" s="32">
        <v>147</v>
      </c>
      <c r="L39" s="32">
        <v>3.3149999999999999</v>
      </c>
      <c r="M39" s="58">
        <v>58.569000000000003</v>
      </c>
      <c r="N39" s="78"/>
      <c r="O39" s="31"/>
      <c r="P39" s="146" t="s">
        <v>108</v>
      </c>
      <c r="Q39" s="172" t="s">
        <v>100</v>
      </c>
      <c r="R39" s="107">
        <v>1613.24</v>
      </c>
      <c r="S39" s="113">
        <v>1454.73</v>
      </c>
      <c r="T39" s="108" t="s">
        <v>26</v>
      </c>
      <c r="U39" s="113">
        <f>AVERAGE(R39:S39)</f>
        <v>1533.9850000000001</v>
      </c>
      <c r="V39" s="168">
        <f>STDEV(R39:S39)</f>
        <v>112.08349588587495</v>
      </c>
      <c r="W39" s="244"/>
      <c r="X39" s="287"/>
      <c r="Y39" s="291"/>
      <c r="Z39" s="283"/>
      <c r="AA39" s="31"/>
      <c r="AB39" s="288"/>
      <c r="AC39" s="288"/>
      <c r="AD39" s="288"/>
      <c r="AE39" s="288"/>
      <c r="AF39" s="288"/>
      <c r="AG39" s="288"/>
      <c r="AH39" s="288"/>
      <c r="AI39" s="284"/>
      <c r="AJ39" s="284"/>
      <c r="AK39" s="284"/>
      <c r="AL39" s="284"/>
      <c r="AM39" s="284"/>
      <c r="AN39" s="284"/>
      <c r="AO39" s="284"/>
      <c r="AP39" s="284"/>
      <c r="AQ39" s="284"/>
      <c r="AR39" s="284"/>
      <c r="AS39" s="284"/>
      <c r="AT39" s="284"/>
      <c r="AU39" s="284"/>
      <c r="AV39" s="284"/>
      <c r="AW39" s="284"/>
      <c r="AX39" s="284"/>
      <c r="AY39" s="284"/>
      <c r="AZ39" s="284"/>
      <c r="BA39" s="284"/>
      <c r="BB39" s="284"/>
      <c r="BC39" s="284"/>
      <c r="BD39" s="284"/>
      <c r="BE39" s="284"/>
      <c r="BF39" s="284"/>
      <c r="BG39" s="284"/>
      <c r="BH39" s="284"/>
      <c r="BI39" s="284"/>
      <c r="BJ39" s="284"/>
      <c r="BK39" s="284"/>
      <c r="BL39" s="284"/>
      <c r="BM39" s="284"/>
      <c r="BN39" s="284"/>
      <c r="BO39" s="284"/>
      <c r="BP39" s="284"/>
      <c r="BQ39" s="284"/>
    </row>
    <row r="40" spans="1:69">
      <c r="A40" s="69" t="s">
        <v>109</v>
      </c>
      <c r="B40" s="155" t="s">
        <v>101</v>
      </c>
      <c r="C40" s="94" t="s">
        <v>98</v>
      </c>
      <c r="D40" s="109">
        <v>197.78</v>
      </c>
      <c r="E40" s="109">
        <v>15422.64</v>
      </c>
      <c r="F40" s="124">
        <v>1283.8800000000001</v>
      </c>
      <c r="G40" s="123">
        <v>51937.72</v>
      </c>
      <c r="H40" s="109">
        <v>41.64</v>
      </c>
      <c r="I40" s="124">
        <v>1604.62</v>
      </c>
      <c r="J40" s="64">
        <v>1.044</v>
      </c>
      <c r="K40" s="32">
        <v>57.133000000000003</v>
      </c>
      <c r="L40" s="32">
        <v>1.93</v>
      </c>
      <c r="M40" s="58">
        <v>586.18100000000004</v>
      </c>
      <c r="N40" s="78"/>
      <c r="O40" s="31"/>
      <c r="P40" s="146" t="s">
        <v>109</v>
      </c>
      <c r="Q40" s="172" t="s">
        <v>100</v>
      </c>
      <c r="R40" s="107">
        <v>191.48</v>
      </c>
      <c r="S40" s="113">
        <v>153.02000000000001</v>
      </c>
      <c r="T40" s="116">
        <v>331.22</v>
      </c>
      <c r="U40" s="113">
        <f t="shared" si="4"/>
        <v>225.24</v>
      </c>
      <c r="V40" s="168">
        <f t="shared" si="5"/>
        <v>93.774267259200656</v>
      </c>
      <c r="W40" s="244"/>
      <c r="X40" s="287">
        <f t="shared" si="6"/>
        <v>996.15666666666675</v>
      </c>
      <c r="Y40" s="291" t="s">
        <v>52</v>
      </c>
      <c r="Z40" s="283"/>
      <c r="AA40" s="32"/>
      <c r="AB40" s="288"/>
      <c r="AC40" s="288"/>
      <c r="AD40" s="288"/>
      <c r="AE40" s="288"/>
      <c r="AF40" s="288"/>
      <c r="AG40" s="288"/>
      <c r="AH40" s="288"/>
      <c r="AI40" s="284"/>
      <c r="AJ40" s="284"/>
      <c r="AK40" s="284"/>
      <c r="AL40" s="284"/>
      <c r="AM40" s="284"/>
      <c r="AN40" s="284"/>
      <c r="AO40" s="284"/>
      <c r="AP40" s="284"/>
      <c r="AQ40" s="284"/>
      <c r="AR40" s="284"/>
      <c r="AS40" s="284"/>
      <c r="AT40" s="284"/>
      <c r="AU40" s="284"/>
      <c r="AV40" s="284"/>
      <c r="AW40" s="284"/>
      <c r="AX40" s="284"/>
      <c r="AY40" s="284"/>
      <c r="AZ40" s="284"/>
      <c r="BA40" s="284"/>
      <c r="BB40" s="284"/>
      <c r="BC40" s="284"/>
      <c r="BD40" s="284"/>
      <c r="BE40" s="284"/>
      <c r="BF40" s="284"/>
      <c r="BG40" s="284"/>
      <c r="BH40" s="284"/>
      <c r="BI40" s="284"/>
      <c r="BJ40" s="284"/>
      <c r="BK40" s="284"/>
      <c r="BL40" s="284"/>
      <c r="BM40" s="284"/>
      <c r="BN40" s="284"/>
      <c r="BO40" s="284"/>
      <c r="BP40" s="284"/>
      <c r="BQ40" s="284"/>
    </row>
    <row r="41" spans="1:69">
      <c r="A41" s="70" t="s">
        <v>110</v>
      </c>
      <c r="B41" s="156" t="s">
        <v>101</v>
      </c>
      <c r="C41" s="95" t="s">
        <v>98</v>
      </c>
      <c r="D41" s="127">
        <v>499.44</v>
      </c>
      <c r="E41" s="127">
        <v>15824.3</v>
      </c>
      <c r="F41" s="126">
        <v>1476.86</v>
      </c>
      <c r="G41" s="125">
        <v>51700.1</v>
      </c>
      <c r="H41" s="127">
        <v>16.88</v>
      </c>
      <c r="I41" s="126">
        <v>2218.34</v>
      </c>
      <c r="J41" s="65">
        <v>0.44400000000000001</v>
      </c>
      <c r="K41" s="48">
        <v>71.478999999999999</v>
      </c>
      <c r="L41" s="48"/>
      <c r="M41" s="60">
        <v>81.412000000000006</v>
      </c>
      <c r="N41" s="78"/>
      <c r="O41" s="31"/>
      <c r="P41" s="159" t="s">
        <v>110</v>
      </c>
      <c r="Q41" s="172" t="s">
        <v>100</v>
      </c>
      <c r="R41" s="107">
        <v>1851.6</v>
      </c>
      <c r="S41" s="113">
        <v>1573.02</v>
      </c>
      <c r="T41" s="116">
        <v>1876.6</v>
      </c>
      <c r="U41" s="113">
        <f t="shared" si="4"/>
        <v>1767.073333333333</v>
      </c>
      <c r="V41" s="168">
        <f t="shared" si="5"/>
        <v>168.51935240005406</v>
      </c>
      <c r="W41" s="244"/>
      <c r="X41" s="287"/>
      <c r="Y41" s="283"/>
      <c r="Z41" s="283"/>
      <c r="AA41" s="283"/>
      <c r="AB41" s="288"/>
      <c r="AC41" s="288"/>
      <c r="AD41" s="288"/>
      <c r="AE41" s="288"/>
      <c r="AF41" s="288"/>
      <c r="AG41" s="288"/>
      <c r="AH41" s="288"/>
      <c r="AI41" s="284"/>
      <c r="AJ41" s="284"/>
      <c r="AK41" s="284"/>
      <c r="AL41" s="284"/>
      <c r="AM41" s="284"/>
      <c r="AN41" s="284"/>
      <c r="AO41" s="284"/>
      <c r="AP41" s="284"/>
      <c r="AQ41" s="284"/>
      <c r="AR41" s="284"/>
      <c r="AS41" s="284"/>
      <c r="AT41" s="284"/>
      <c r="AU41" s="284"/>
      <c r="AV41" s="284"/>
      <c r="AW41" s="284"/>
      <c r="AX41" s="284"/>
      <c r="AY41" s="284"/>
      <c r="AZ41" s="284"/>
      <c r="BA41" s="284"/>
      <c r="BB41" s="284"/>
      <c r="BC41" s="284"/>
      <c r="BD41" s="284"/>
      <c r="BE41" s="284"/>
      <c r="BF41" s="284"/>
      <c r="BG41" s="284"/>
      <c r="BH41" s="284"/>
      <c r="BI41" s="284"/>
      <c r="BJ41" s="284"/>
      <c r="BK41" s="284"/>
      <c r="BL41" s="284"/>
      <c r="BM41" s="284"/>
      <c r="BN41" s="284"/>
      <c r="BO41" s="284"/>
      <c r="BP41" s="284"/>
      <c r="BQ41" s="284"/>
    </row>
    <row r="42" spans="1:69">
      <c r="A42" s="77"/>
      <c r="D42" s="136"/>
      <c r="E42" s="136"/>
      <c r="F42" s="136"/>
      <c r="G42" s="136"/>
      <c r="H42" s="136"/>
      <c r="I42" s="136"/>
      <c r="J42" s="136"/>
      <c r="K42" s="136"/>
      <c r="L42" s="136"/>
      <c r="M42" s="136"/>
      <c r="N42" s="78"/>
      <c r="O42" s="31"/>
      <c r="P42" s="146" t="s">
        <v>105</v>
      </c>
      <c r="Q42" s="173" t="s">
        <v>101</v>
      </c>
      <c r="R42" s="107">
        <v>291.68</v>
      </c>
      <c r="S42" s="111">
        <v>199.94</v>
      </c>
      <c r="T42" s="116">
        <v>153.04</v>
      </c>
      <c r="U42" s="115">
        <f t="shared" si="4"/>
        <v>214.88666666666666</v>
      </c>
      <c r="V42" s="167">
        <f t="shared" si="5"/>
        <v>70.518185834104798</v>
      </c>
      <c r="W42" s="244"/>
      <c r="X42" s="287"/>
      <c r="Y42" s="283"/>
      <c r="Z42" s="283"/>
      <c r="AA42" s="283"/>
      <c r="AB42" s="288"/>
      <c r="AC42" s="288"/>
      <c r="AD42" s="288"/>
      <c r="AE42" s="288"/>
      <c r="AF42" s="288"/>
      <c r="AG42" s="288"/>
      <c r="AH42" s="288"/>
      <c r="AI42" s="284"/>
      <c r="AJ42" s="284"/>
      <c r="AK42" s="284"/>
      <c r="AL42" s="284"/>
      <c r="AM42" s="284"/>
      <c r="AN42" s="284"/>
      <c r="AO42" s="284"/>
      <c r="AP42" s="284"/>
      <c r="AQ42" s="284"/>
      <c r="AR42" s="284"/>
      <c r="AS42" s="284"/>
      <c r="AT42" s="284"/>
      <c r="AU42" s="284"/>
      <c r="AV42" s="284"/>
      <c r="AW42" s="284"/>
      <c r="AX42" s="284"/>
      <c r="AY42" s="284"/>
      <c r="AZ42" s="284"/>
      <c r="BA42" s="284"/>
      <c r="BB42" s="284"/>
      <c r="BC42" s="284"/>
      <c r="BD42" s="284"/>
      <c r="BE42" s="284"/>
      <c r="BF42" s="284"/>
      <c r="BG42" s="284"/>
      <c r="BH42" s="284"/>
      <c r="BI42" s="284"/>
      <c r="BJ42" s="284"/>
      <c r="BK42" s="284"/>
      <c r="BL42" s="284"/>
      <c r="BM42" s="284"/>
      <c r="BN42" s="284"/>
      <c r="BO42" s="284"/>
      <c r="BP42" s="284"/>
      <c r="BQ42" s="284"/>
    </row>
    <row r="43" spans="1:69">
      <c r="C43" s="66"/>
      <c r="D43" s="7"/>
      <c r="E43" s="31"/>
      <c r="F43" s="178"/>
      <c r="G43" s="31"/>
      <c r="H43" s="161"/>
      <c r="I43" s="137"/>
      <c r="J43" s="136"/>
      <c r="K43" s="136"/>
      <c r="L43" s="136"/>
      <c r="M43" s="136"/>
      <c r="N43" s="78"/>
      <c r="O43" s="31"/>
      <c r="P43" s="146" t="s">
        <v>106</v>
      </c>
      <c r="Q43" s="172" t="s">
        <v>101</v>
      </c>
      <c r="R43" s="107">
        <v>237.88</v>
      </c>
      <c r="S43" s="107">
        <v>186.6</v>
      </c>
      <c r="T43" s="116">
        <v>122.76</v>
      </c>
      <c r="U43" s="116">
        <f t="shared" si="4"/>
        <v>182.41333333333333</v>
      </c>
      <c r="V43" s="168">
        <f t="shared" si="5"/>
        <v>57.674081989515301</v>
      </c>
      <c r="W43" s="244"/>
      <c r="X43" s="287"/>
      <c r="Y43" s="283"/>
      <c r="Z43" s="283"/>
      <c r="AA43" s="283"/>
      <c r="AB43" s="288"/>
      <c r="AC43" s="288"/>
      <c r="AD43" s="288"/>
      <c r="AE43" s="288"/>
      <c r="AF43" s="288"/>
      <c r="AG43" s="288"/>
      <c r="AH43" s="288"/>
      <c r="AI43" s="284"/>
      <c r="AJ43" s="284"/>
      <c r="AK43" s="284"/>
      <c r="AL43" s="284"/>
      <c r="AM43" s="284"/>
      <c r="AN43" s="284"/>
      <c r="AO43" s="284"/>
      <c r="AP43" s="284"/>
      <c r="AQ43" s="284"/>
      <c r="AR43" s="284"/>
      <c r="AS43" s="284"/>
      <c r="AT43" s="284"/>
      <c r="AU43" s="284"/>
      <c r="AV43" s="284"/>
      <c r="AW43" s="284"/>
      <c r="AX43" s="284"/>
      <c r="AY43" s="284"/>
      <c r="AZ43" s="284"/>
      <c r="BA43" s="284"/>
      <c r="BB43" s="284"/>
      <c r="BC43" s="284"/>
      <c r="BD43" s="284"/>
      <c r="BE43" s="284"/>
      <c r="BF43" s="284"/>
      <c r="BG43" s="284"/>
      <c r="BH43" s="284"/>
      <c r="BI43" s="284"/>
      <c r="BJ43" s="284"/>
      <c r="BK43" s="284"/>
      <c r="BL43" s="284"/>
      <c r="BM43" s="284"/>
      <c r="BN43" s="284"/>
      <c r="BO43" s="284"/>
      <c r="BP43" s="284"/>
      <c r="BQ43" s="284"/>
    </row>
    <row r="44" spans="1:69">
      <c r="A44" s="66"/>
      <c r="C44" s="66"/>
      <c r="D44" s="7"/>
      <c r="E44" s="31"/>
      <c r="F44" s="179"/>
      <c r="G44" s="31"/>
      <c r="H44" s="7"/>
      <c r="I44" s="137"/>
      <c r="J44" s="136"/>
      <c r="K44" s="136"/>
      <c r="L44" s="136"/>
      <c r="M44" s="136"/>
      <c r="O44" s="31"/>
      <c r="P44" s="146" t="s">
        <v>107</v>
      </c>
      <c r="Q44" s="172" t="s">
        <v>101</v>
      </c>
      <c r="R44" s="107">
        <v>299</v>
      </c>
      <c r="S44" s="107">
        <v>263.98</v>
      </c>
      <c r="T44" s="116">
        <v>245.74</v>
      </c>
      <c r="U44" s="116">
        <f t="shared" si="4"/>
        <v>269.57333333333332</v>
      </c>
      <c r="V44" s="168">
        <f t="shared" si="5"/>
        <v>27.066971262653759</v>
      </c>
      <c r="W44" s="244"/>
      <c r="X44" s="287"/>
      <c r="Y44" s="283"/>
      <c r="Z44" s="283"/>
      <c r="AA44" s="283"/>
      <c r="AB44" s="288"/>
      <c r="AC44" s="288"/>
      <c r="AD44" s="288"/>
      <c r="AE44" s="288"/>
      <c r="AF44" s="288"/>
      <c r="AG44" s="288"/>
      <c r="AH44" s="288"/>
      <c r="AI44" s="284"/>
      <c r="AJ44" s="284"/>
      <c r="AK44" s="284"/>
      <c r="AL44" s="284"/>
      <c r="AM44" s="284"/>
      <c r="AN44" s="284"/>
      <c r="AO44" s="284"/>
      <c r="AP44" s="284"/>
      <c r="AQ44" s="284"/>
      <c r="AR44" s="284"/>
      <c r="AS44" s="284"/>
      <c r="AT44" s="284"/>
      <c r="AU44" s="284"/>
      <c r="AV44" s="284"/>
      <c r="AW44" s="284"/>
      <c r="AX44" s="284"/>
      <c r="AY44" s="284"/>
      <c r="AZ44" s="284"/>
      <c r="BA44" s="284"/>
      <c r="BB44" s="284"/>
      <c r="BC44" s="284"/>
      <c r="BD44" s="284"/>
      <c r="BE44" s="284"/>
      <c r="BF44" s="284"/>
      <c r="BG44" s="284"/>
      <c r="BH44" s="284"/>
      <c r="BI44" s="284"/>
      <c r="BJ44" s="284"/>
      <c r="BK44" s="284"/>
      <c r="BL44" s="284"/>
      <c r="BM44" s="284"/>
      <c r="BN44" s="284"/>
      <c r="BO44" s="284"/>
      <c r="BP44" s="284"/>
      <c r="BQ44" s="284"/>
    </row>
    <row r="45" spans="1:69">
      <c r="A45" s="66"/>
      <c r="C45" s="66"/>
      <c r="D45" s="178"/>
      <c r="E45" s="31"/>
      <c r="F45" s="179"/>
      <c r="G45" s="32"/>
      <c r="H45" s="7"/>
      <c r="I45" s="137"/>
      <c r="J45" s="136"/>
      <c r="K45" s="136"/>
      <c r="L45" s="136"/>
      <c r="M45" s="136"/>
      <c r="O45" s="31"/>
      <c r="P45" s="146" t="s">
        <v>108</v>
      </c>
      <c r="Q45" s="172" t="s">
        <v>101</v>
      </c>
      <c r="R45" s="107">
        <v>694.5</v>
      </c>
      <c r="S45" s="107">
        <v>599.62</v>
      </c>
      <c r="T45" s="116">
        <v>576.88</v>
      </c>
      <c r="U45" s="116">
        <f t="shared" si="4"/>
        <v>623.66666666666663</v>
      </c>
      <c r="V45" s="168">
        <f t="shared" si="5"/>
        <v>62.38828201940899</v>
      </c>
      <c r="W45" s="244"/>
      <c r="X45" s="287"/>
      <c r="Y45" s="283"/>
      <c r="Z45" s="283"/>
      <c r="AA45" s="283"/>
      <c r="AB45" s="288"/>
      <c r="AC45" s="288"/>
      <c r="AD45" s="288"/>
      <c r="AE45" s="288"/>
      <c r="AF45" s="288"/>
      <c r="AG45" s="288"/>
      <c r="AH45" s="288"/>
      <c r="AI45" s="284"/>
      <c r="AJ45" s="284"/>
      <c r="AK45" s="284"/>
      <c r="AL45" s="284"/>
      <c r="AM45" s="284"/>
      <c r="AN45" s="284"/>
      <c r="AO45" s="284"/>
      <c r="AP45" s="284"/>
      <c r="AQ45" s="284"/>
      <c r="AR45" s="284"/>
      <c r="AS45" s="284"/>
      <c r="AT45" s="284"/>
      <c r="AU45" s="284"/>
      <c r="AV45" s="284"/>
      <c r="AW45" s="284"/>
      <c r="AX45" s="284"/>
      <c r="AY45" s="284"/>
      <c r="AZ45" s="284"/>
      <c r="BA45" s="284"/>
      <c r="BB45" s="284"/>
      <c r="BC45" s="284"/>
      <c r="BD45" s="284"/>
      <c r="BE45" s="284"/>
      <c r="BF45" s="284"/>
      <c r="BG45" s="284"/>
      <c r="BH45" s="284"/>
      <c r="BI45" s="284"/>
      <c r="BJ45" s="284"/>
      <c r="BK45" s="284"/>
      <c r="BL45" s="284"/>
      <c r="BM45" s="284"/>
      <c r="BN45" s="284"/>
      <c r="BO45" s="284"/>
      <c r="BP45" s="284"/>
      <c r="BQ45" s="284"/>
    </row>
    <row r="46" spans="1:69">
      <c r="A46" s="66"/>
      <c r="C46" s="66"/>
      <c r="D46" s="137"/>
      <c r="E46" s="90"/>
      <c r="F46" s="90"/>
      <c r="G46" s="90"/>
      <c r="H46" s="90"/>
      <c r="I46" s="137"/>
      <c r="J46" s="136"/>
      <c r="K46" s="136"/>
      <c r="L46" s="136"/>
      <c r="M46" s="136"/>
      <c r="O46" s="31"/>
      <c r="P46" s="146" t="s">
        <v>109</v>
      </c>
      <c r="Q46" s="172" t="s">
        <v>101</v>
      </c>
      <c r="R46" s="107">
        <v>316.10000000000002</v>
      </c>
      <c r="S46" s="107">
        <v>249.22</v>
      </c>
      <c r="T46" s="116">
        <v>197.78</v>
      </c>
      <c r="U46" s="116">
        <f t="shared" si="4"/>
        <v>254.36666666666667</v>
      </c>
      <c r="V46" s="168">
        <f t="shared" si="5"/>
        <v>59.32766414863594</v>
      </c>
      <c r="W46" s="244"/>
      <c r="X46" s="287"/>
      <c r="Y46" s="283"/>
      <c r="Z46" s="283"/>
      <c r="AA46" s="283"/>
      <c r="AB46" s="288"/>
      <c r="AC46" s="288"/>
      <c r="AD46" s="288"/>
      <c r="AE46" s="288"/>
      <c r="AF46" s="288"/>
      <c r="AG46" s="288"/>
      <c r="AH46" s="288"/>
      <c r="AI46" s="284"/>
      <c r="AJ46" s="284"/>
      <c r="AK46" s="284"/>
      <c r="AL46" s="284"/>
      <c r="AM46" s="284"/>
      <c r="AN46" s="284"/>
      <c r="AO46" s="284"/>
      <c r="AP46" s="284"/>
      <c r="AQ46" s="284"/>
      <c r="AR46" s="284"/>
      <c r="AS46" s="284"/>
      <c r="AT46" s="284"/>
      <c r="AU46" s="284"/>
      <c r="AV46" s="284"/>
      <c r="AW46" s="284"/>
      <c r="AX46" s="284"/>
      <c r="AY46" s="284"/>
      <c r="AZ46" s="284"/>
      <c r="BA46" s="284"/>
      <c r="BB46" s="284"/>
      <c r="BC46" s="284"/>
      <c r="BD46" s="284"/>
      <c r="BE46" s="284"/>
      <c r="BF46" s="284"/>
      <c r="BG46" s="284"/>
      <c r="BH46" s="284"/>
      <c r="BI46" s="284"/>
      <c r="BJ46" s="284"/>
      <c r="BK46" s="284"/>
      <c r="BL46" s="284"/>
      <c r="BM46" s="284"/>
      <c r="BN46" s="284"/>
      <c r="BO46" s="284"/>
      <c r="BP46" s="284"/>
      <c r="BQ46" s="284"/>
    </row>
    <row r="47" spans="1:69">
      <c r="D47" s="136"/>
      <c r="E47" s="158"/>
      <c r="F47" s="158"/>
      <c r="G47" s="158"/>
      <c r="H47" s="158"/>
      <c r="I47" s="136"/>
      <c r="J47" s="136"/>
      <c r="K47" s="136"/>
      <c r="L47" s="136"/>
      <c r="M47" s="136"/>
      <c r="O47" s="31"/>
      <c r="P47" s="146" t="s">
        <v>110</v>
      </c>
      <c r="Q47" s="172" t="s">
        <v>101</v>
      </c>
      <c r="R47" s="107">
        <v>724.48</v>
      </c>
      <c r="S47" s="107">
        <v>684.6</v>
      </c>
      <c r="T47" s="116">
        <v>499.44</v>
      </c>
      <c r="U47" s="116">
        <f t="shared" si="4"/>
        <v>636.17333333333329</v>
      </c>
      <c r="V47" s="168">
        <f t="shared" si="5"/>
        <v>120.08166776545589</v>
      </c>
      <c r="W47" s="244"/>
      <c r="X47" s="287"/>
      <c r="Y47" s="283"/>
      <c r="Z47" s="283"/>
      <c r="AA47" s="283"/>
      <c r="AB47" s="288"/>
      <c r="AC47" s="288"/>
      <c r="AD47" s="288"/>
      <c r="AE47" s="288"/>
      <c r="AF47" s="288"/>
      <c r="AG47" s="288"/>
      <c r="AH47" s="288"/>
      <c r="AI47" s="284"/>
      <c r="AJ47" s="284"/>
      <c r="AK47" s="284"/>
      <c r="AL47" s="284"/>
      <c r="AM47" s="284"/>
      <c r="AN47" s="284"/>
      <c r="AO47" s="284"/>
      <c r="AP47" s="284"/>
      <c r="AQ47" s="284"/>
      <c r="AR47" s="284"/>
      <c r="AS47" s="284"/>
      <c r="AT47" s="284"/>
      <c r="AU47" s="284"/>
      <c r="AV47" s="284"/>
      <c r="AW47" s="284"/>
      <c r="AX47" s="284"/>
      <c r="AY47" s="284"/>
      <c r="AZ47" s="284"/>
      <c r="BA47" s="284"/>
      <c r="BB47" s="284"/>
      <c r="BC47" s="284"/>
      <c r="BD47" s="284"/>
      <c r="BE47" s="284"/>
      <c r="BF47" s="284"/>
      <c r="BG47" s="284"/>
      <c r="BH47" s="284"/>
      <c r="BI47" s="284"/>
      <c r="BJ47" s="284"/>
      <c r="BK47" s="284"/>
      <c r="BL47" s="284"/>
      <c r="BM47" s="284"/>
      <c r="BN47" s="284"/>
      <c r="BO47" s="284"/>
      <c r="BP47" s="284"/>
      <c r="BQ47" s="284"/>
    </row>
    <row r="48" spans="1:69">
      <c r="D48" s="136"/>
      <c r="E48" s="158"/>
      <c r="F48" s="158"/>
      <c r="G48" s="158"/>
      <c r="H48" s="158"/>
      <c r="I48" s="136"/>
      <c r="J48" s="136"/>
      <c r="K48" s="136"/>
      <c r="L48" s="136"/>
      <c r="M48" s="136"/>
      <c r="O48" s="31"/>
      <c r="P48" s="258"/>
      <c r="Q48" s="258"/>
      <c r="R48" s="113"/>
      <c r="S48" s="113"/>
      <c r="T48" s="113"/>
      <c r="U48" s="113"/>
      <c r="V48" s="31"/>
      <c r="W48" s="246"/>
      <c r="X48" s="287"/>
      <c r="Y48" s="283"/>
      <c r="Z48" s="283"/>
      <c r="AA48" s="283"/>
      <c r="AB48" s="288"/>
      <c r="AC48" s="288"/>
      <c r="AD48" s="288"/>
      <c r="AE48" s="288"/>
      <c r="AF48" s="288"/>
      <c r="AG48" s="288"/>
      <c r="AH48" s="288"/>
      <c r="AI48" s="284"/>
      <c r="AJ48" s="284"/>
      <c r="AK48" s="284"/>
      <c r="AL48" s="284"/>
      <c r="AM48" s="284"/>
      <c r="AN48" s="284"/>
      <c r="AO48" s="284"/>
      <c r="AP48" s="284"/>
      <c r="AQ48" s="284"/>
      <c r="AR48" s="284"/>
      <c r="AS48" s="284"/>
      <c r="AT48" s="284"/>
      <c r="AU48" s="284"/>
      <c r="AV48" s="284"/>
      <c r="AW48" s="284"/>
      <c r="AX48" s="284"/>
      <c r="AY48" s="284"/>
      <c r="AZ48" s="284"/>
      <c r="BA48" s="284"/>
      <c r="BB48" s="284"/>
      <c r="BC48" s="284"/>
      <c r="BD48" s="284"/>
      <c r="BE48" s="284"/>
      <c r="BF48" s="284"/>
      <c r="BG48" s="284"/>
      <c r="BH48" s="284"/>
      <c r="BI48" s="284"/>
      <c r="BJ48" s="284"/>
      <c r="BK48" s="284"/>
      <c r="BL48" s="284"/>
      <c r="BM48" s="284"/>
      <c r="BN48" s="284"/>
      <c r="BO48" s="284"/>
      <c r="BP48" s="284"/>
      <c r="BQ48" s="284"/>
    </row>
    <row r="49" spans="1:69">
      <c r="D49" s="136"/>
      <c r="E49" s="158"/>
      <c r="F49" s="158"/>
      <c r="G49" s="158"/>
      <c r="H49" s="158"/>
      <c r="I49" s="136"/>
      <c r="J49" s="136"/>
      <c r="K49" s="136"/>
      <c r="L49" s="136"/>
      <c r="M49" s="136"/>
      <c r="O49" s="31"/>
      <c r="P49" s="265"/>
      <c r="Q49" s="265"/>
      <c r="R49" s="265"/>
      <c r="S49" s="113"/>
      <c r="T49" s="113"/>
      <c r="U49" s="113"/>
      <c r="V49" s="19"/>
      <c r="W49" s="246"/>
      <c r="X49" s="287"/>
      <c r="Y49" s="283"/>
      <c r="Z49" s="283"/>
      <c r="AA49" s="283"/>
      <c r="AB49" s="288"/>
      <c r="AC49" s="288"/>
      <c r="AD49" s="288"/>
      <c r="AE49" s="288"/>
      <c r="AF49" s="288"/>
      <c r="AG49" s="288"/>
      <c r="AH49" s="288"/>
      <c r="AI49" s="284"/>
      <c r="AJ49" s="284"/>
      <c r="AK49" s="284"/>
      <c r="AL49" s="284"/>
      <c r="AM49" s="284"/>
      <c r="AN49" s="284"/>
      <c r="AO49" s="284"/>
      <c r="AP49" s="284"/>
      <c r="AQ49" s="284"/>
      <c r="AR49" s="284"/>
      <c r="AS49" s="284"/>
      <c r="AT49" s="284"/>
      <c r="AU49" s="284"/>
      <c r="AV49" s="284"/>
      <c r="AW49" s="284"/>
      <c r="AX49" s="284"/>
      <c r="AY49" s="284"/>
      <c r="AZ49" s="284"/>
      <c r="BA49" s="284"/>
      <c r="BB49" s="284"/>
      <c r="BC49" s="284"/>
      <c r="BD49" s="284"/>
      <c r="BE49" s="284"/>
      <c r="BF49" s="284"/>
      <c r="BG49" s="284"/>
      <c r="BH49" s="284"/>
      <c r="BI49" s="284"/>
      <c r="BJ49" s="284"/>
      <c r="BK49" s="284"/>
      <c r="BL49" s="284"/>
      <c r="BM49" s="284"/>
      <c r="BN49" s="284"/>
      <c r="BO49" s="284"/>
      <c r="BP49" s="284"/>
      <c r="BQ49" s="284"/>
    </row>
    <row r="50" spans="1:69">
      <c r="D50" s="136"/>
      <c r="E50" s="158"/>
      <c r="F50" s="158"/>
      <c r="G50" s="158"/>
      <c r="H50" s="158"/>
      <c r="I50" s="136"/>
      <c r="J50" s="136"/>
      <c r="K50" s="136"/>
      <c r="L50" s="136"/>
      <c r="M50" s="136"/>
      <c r="O50" s="31"/>
      <c r="P50" s="264"/>
      <c r="Q50" s="171"/>
      <c r="R50" s="113"/>
      <c r="S50" s="113"/>
      <c r="T50" s="113"/>
      <c r="U50" s="113"/>
      <c r="V50" s="19"/>
      <c r="W50" s="246"/>
      <c r="X50" s="287"/>
      <c r="Y50" s="283"/>
      <c r="Z50" s="283"/>
      <c r="AA50" s="283"/>
      <c r="AB50" s="288"/>
      <c r="AC50" s="288"/>
      <c r="AD50" s="288"/>
      <c r="AE50" s="288"/>
      <c r="AF50" s="288"/>
      <c r="AG50" s="288"/>
      <c r="AH50" s="288"/>
      <c r="AI50" s="284"/>
      <c r="AJ50" s="284"/>
      <c r="AK50" s="284"/>
      <c r="AL50" s="284"/>
      <c r="AM50" s="284"/>
      <c r="AN50" s="284"/>
      <c r="AO50" s="284"/>
      <c r="AP50" s="284"/>
      <c r="AQ50" s="284"/>
      <c r="AR50" s="284"/>
      <c r="AS50" s="284"/>
      <c r="AT50" s="284"/>
      <c r="AU50" s="284"/>
      <c r="AV50" s="284"/>
      <c r="AW50" s="284"/>
      <c r="AX50" s="284"/>
      <c r="AY50" s="284"/>
      <c r="AZ50" s="284"/>
      <c r="BA50" s="284"/>
      <c r="BB50" s="284"/>
      <c r="BC50" s="284"/>
      <c r="BD50" s="284"/>
      <c r="BE50" s="284"/>
      <c r="BF50" s="284"/>
      <c r="BG50" s="284"/>
      <c r="BH50" s="284"/>
      <c r="BI50" s="284"/>
      <c r="BJ50" s="284"/>
      <c r="BK50" s="284"/>
      <c r="BL50" s="284"/>
      <c r="BM50" s="284"/>
      <c r="BN50" s="284"/>
      <c r="BO50" s="284"/>
      <c r="BP50" s="284"/>
      <c r="BQ50" s="284"/>
    </row>
    <row r="51" spans="1:69">
      <c r="D51" s="136"/>
      <c r="E51" s="158"/>
      <c r="F51" s="158"/>
      <c r="G51" s="158"/>
      <c r="H51" s="158"/>
      <c r="I51" s="136"/>
      <c r="J51" s="136"/>
      <c r="K51" s="136"/>
      <c r="L51" s="136"/>
      <c r="O51" s="252" t="s">
        <v>129</v>
      </c>
      <c r="P51" s="259" t="s">
        <v>55</v>
      </c>
      <c r="Q51" s="260" t="s">
        <v>99</v>
      </c>
      <c r="R51" s="255" t="s">
        <v>96</v>
      </c>
      <c r="S51" s="256" t="s">
        <v>97</v>
      </c>
      <c r="T51" s="255" t="s">
        <v>98</v>
      </c>
      <c r="U51" s="261" t="s">
        <v>127</v>
      </c>
      <c r="V51" s="262" t="s">
        <v>128</v>
      </c>
      <c r="W51" s="176"/>
      <c r="X51" s="287"/>
      <c r="Y51" s="283"/>
      <c r="Z51" s="283"/>
      <c r="AA51" s="283"/>
      <c r="AB51" s="288"/>
      <c r="AC51" s="30"/>
      <c r="AD51" s="288"/>
      <c r="AE51" s="288"/>
      <c r="AF51" s="288"/>
      <c r="AG51" s="288"/>
      <c r="AH51" s="288"/>
      <c r="AI51" s="284"/>
      <c r="AJ51" s="284"/>
      <c r="AK51" s="284"/>
      <c r="AL51" s="284"/>
      <c r="AM51" s="284"/>
      <c r="AN51" s="284"/>
      <c r="AO51" s="284"/>
      <c r="AP51" s="284"/>
      <c r="AQ51" s="284"/>
      <c r="AR51" s="284"/>
      <c r="AS51" s="284"/>
      <c r="AT51" s="284"/>
      <c r="AU51" s="284"/>
      <c r="AV51" s="284"/>
      <c r="AW51" s="284"/>
      <c r="AX51" s="284"/>
      <c r="AY51" s="284"/>
      <c r="AZ51" s="284"/>
      <c r="BA51" s="284"/>
      <c r="BB51" s="284"/>
      <c r="BC51" s="284"/>
      <c r="BD51" s="284"/>
      <c r="BE51" s="284"/>
      <c r="BF51" s="284"/>
      <c r="BG51" s="284"/>
      <c r="BH51" s="284"/>
      <c r="BI51" s="284"/>
      <c r="BJ51" s="284"/>
      <c r="BK51" s="284"/>
      <c r="BL51" s="284"/>
      <c r="BM51" s="284"/>
      <c r="BN51" s="284"/>
      <c r="BO51" s="284"/>
      <c r="BP51" s="284"/>
      <c r="BQ51" s="284"/>
    </row>
    <row r="52" spans="1:69">
      <c r="D52" s="136"/>
      <c r="E52" s="136"/>
      <c r="F52" s="136"/>
      <c r="G52" s="136"/>
      <c r="H52" s="136"/>
      <c r="I52" s="136"/>
      <c r="J52" s="136"/>
      <c r="K52" s="136"/>
      <c r="L52" s="136"/>
      <c r="O52" s="31"/>
      <c r="P52" s="46" t="s">
        <v>105</v>
      </c>
      <c r="Q52" s="172" t="s">
        <v>100</v>
      </c>
      <c r="R52" s="112">
        <v>1252.56</v>
      </c>
      <c r="S52" s="116">
        <v>1104.8800000000001</v>
      </c>
      <c r="T52" s="116">
        <v>1089.1199999999999</v>
      </c>
      <c r="U52" s="113">
        <f t="shared" ref="U52:U63" si="7">AVERAGE(R52:T52)</f>
        <v>1148.8533333333332</v>
      </c>
      <c r="V52" s="166">
        <f t="shared" ref="V52:V63" si="8">STDEV(R52:T52)</f>
        <v>90.157633805093539</v>
      </c>
      <c r="W52" s="176"/>
      <c r="X52" s="287">
        <f t="shared" si="6"/>
        <v>1218.1266666666668</v>
      </c>
      <c r="Y52" s="290" t="s">
        <v>53</v>
      </c>
      <c r="Z52" s="283"/>
      <c r="AA52" s="283"/>
      <c r="AB52" s="288"/>
      <c r="AC52" s="31"/>
      <c r="AD52" s="288"/>
      <c r="AE52" s="288"/>
      <c r="AF52" s="288"/>
      <c r="AG52" s="288"/>
      <c r="AH52" s="288"/>
      <c r="AI52" s="284"/>
      <c r="AJ52" s="284"/>
      <c r="AK52" s="284"/>
      <c r="AL52" s="284"/>
      <c r="AM52" s="284"/>
      <c r="AN52" s="284"/>
      <c r="AO52" s="284"/>
      <c r="AP52" s="284"/>
      <c r="AQ52" s="284"/>
      <c r="AR52" s="284"/>
      <c r="AS52" s="284"/>
      <c r="AT52" s="284"/>
      <c r="AU52" s="284"/>
      <c r="AV52" s="284"/>
      <c r="AW52" s="284"/>
      <c r="AX52" s="284"/>
      <c r="AY52" s="284"/>
      <c r="AZ52" s="284"/>
      <c r="BA52" s="284"/>
      <c r="BB52" s="284"/>
      <c r="BC52" s="284"/>
      <c r="BD52" s="284"/>
      <c r="BE52" s="284"/>
      <c r="BF52" s="284"/>
      <c r="BG52" s="284"/>
      <c r="BH52" s="284"/>
      <c r="BI52" s="284"/>
      <c r="BJ52" s="284"/>
      <c r="BK52" s="284"/>
      <c r="BL52" s="284"/>
      <c r="BM52" s="284"/>
      <c r="BN52" s="284"/>
      <c r="BO52" s="284"/>
      <c r="BP52" s="284"/>
      <c r="BQ52" s="284"/>
    </row>
    <row r="53" spans="1:69">
      <c r="D53" s="136"/>
      <c r="E53" s="136"/>
      <c r="F53" s="136"/>
      <c r="G53" s="136"/>
      <c r="H53" s="136"/>
      <c r="I53" s="136"/>
      <c r="J53" s="136"/>
      <c r="K53" s="136"/>
      <c r="L53" s="136"/>
      <c r="O53" s="31"/>
      <c r="P53" s="46" t="s">
        <v>106</v>
      </c>
      <c r="Q53" s="172" t="s">
        <v>100</v>
      </c>
      <c r="R53" s="113">
        <v>1381.54</v>
      </c>
      <c r="S53" s="116">
        <v>1217.28</v>
      </c>
      <c r="T53" s="116">
        <v>1263.3800000000001</v>
      </c>
      <c r="U53" s="113">
        <f t="shared" si="7"/>
        <v>1287.3999999999999</v>
      </c>
      <c r="V53" s="166">
        <f t="shared" si="8"/>
        <v>84.723415889591124</v>
      </c>
      <c r="W53" s="176"/>
      <c r="X53" s="287"/>
      <c r="Y53" s="291"/>
      <c r="Z53" s="283"/>
      <c r="AA53" s="283"/>
      <c r="AB53" s="288"/>
      <c r="AC53" s="31"/>
      <c r="AD53" s="288"/>
      <c r="AE53" s="288"/>
      <c r="AF53" s="288"/>
      <c r="AG53" s="288"/>
      <c r="AH53" s="288"/>
      <c r="AI53" s="284"/>
      <c r="AJ53" s="284"/>
      <c r="AK53" s="284"/>
      <c r="AL53" s="284"/>
      <c r="AM53" s="284"/>
      <c r="AN53" s="284"/>
      <c r="AO53" s="284"/>
      <c r="AP53" s="284"/>
      <c r="AQ53" s="284"/>
      <c r="AR53" s="284"/>
      <c r="AS53" s="284"/>
      <c r="AT53" s="284"/>
      <c r="AU53" s="284"/>
      <c r="AV53" s="284"/>
      <c r="AW53" s="284"/>
      <c r="AX53" s="284"/>
      <c r="AY53" s="284"/>
      <c r="AZ53" s="284"/>
      <c r="BA53" s="284"/>
      <c r="BB53" s="284"/>
      <c r="BC53" s="284"/>
      <c r="BD53" s="284"/>
      <c r="BE53" s="284"/>
      <c r="BF53" s="284"/>
      <c r="BG53" s="284"/>
      <c r="BH53" s="284"/>
      <c r="BI53" s="284"/>
      <c r="BJ53" s="284"/>
      <c r="BK53" s="284"/>
      <c r="BL53" s="284"/>
      <c r="BM53" s="284"/>
      <c r="BN53" s="284"/>
      <c r="BO53" s="284"/>
      <c r="BP53" s="284"/>
      <c r="BQ53" s="284"/>
    </row>
    <row r="54" spans="1:69">
      <c r="A54" s="7"/>
      <c r="B54" s="7"/>
      <c r="C54" s="7"/>
      <c r="D54" s="137"/>
      <c r="E54" s="137"/>
      <c r="F54" s="137"/>
      <c r="G54" s="137"/>
      <c r="H54" s="137"/>
      <c r="I54" s="137"/>
      <c r="J54" s="137"/>
      <c r="K54" s="137"/>
      <c r="L54" s="137"/>
      <c r="M54" s="137"/>
      <c r="N54" s="78"/>
      <c r="O54" s="31"/>
      <c r="P54" s="146" t="s">
        <v>107</v>
      </c>
      <c r="Q54" s="172" t="s">
        <v>100</v>
      </c>
      <c r="R54" s="113">
        <v>2215.8000000000002</v>
      </c>
      <c r="S54" s="116">
        <v>2179.58</v>
      </c>
      <c r="T54" s="108" t="s">
        <v>26</v>
      </c>
      <c r="U54" s="113">
        <f>AVERAGE(R54:S54)</f>
        <v>2197.69</v>
      </c>
      <c r="V54" s="166">
        <f>STDEV(R54:S54)</f>
        <v>25.611407614572737</v>
      </c>
      <c r="W54" s="176"/>
      <c r="X54" s="287">
        <f t="shared" si="6"/>
        <v>2001.3820000000001</v>
      </c>
      <c r="Y54" s="291" t="s">
        <v>54</v>
      </c>
      <c r="Z54" s="283"/>
      <c r="AA54" s="283"/>
      <c r="AB54" s="288"/>
      <c r="AC54" s="31"/>
      <c r="AD54" s="288"/>
      <c r="AE54" s="288"/>
      <c r="AF54" s="288"/>
      <c r="AG54" s="288"/>
      <c r="AH54" s="288"/>
      <c r="AI54" s="284"/>
      <c r="AJ54" s="284"/>
      <c r="AK54" s="284"/>
      <c r="AL54" s="284"/>
      <c r="AM54" s="284"/>
      <c r="AN54" s="284"/>
      <c r="AO54" s="284"/>
      <c r="AP54" s="284"/>
      <c r="AQ54" s="284"/>
      <c r="AR54" s="284"/>
      <c r="AS54" s="284"/>
      <c r="AT54" s="284"/>
      <c r="AU54" s="284"/>
      <c r="AV54" s="284"/>
      <c r="AW54" s="284"/>
      <c r="AX54" s="284"/>
      <c r="AY54" s="284"/>
      <c r="AZ54" s="284"/>
      <c r="BA54" s="284"/>
      <c r="BB54" s="284"/>
      <c r="BC54" s="284"/>
      <c r="BD54" s="284"/>
      <c r="BE54" s="284"/>
      <c r="BF54" s="284"/>
      <c r="BG54" s="284"/>
      <c r="BH54" s="284"/>
      <c r="BI54" s="284"/>
      <c r="BJ54" s="284"/>
      <c r="BK54" s="284"/>
      <c r="BL54" s="284"/>
      <c r="BM54" s="284"/>
      <c r="BN54" s="284"/>
      <c r="BO54" s="284"/>
      <c r="BP54" s="284"/>
      <c r="BQ54" s="284"/>
    </row>
    <row r="55" spans="1:69">
      <c r="A55" s="160"/>
      <c r="B55" s="161"/>
      <c r="C55" s="161"/>
      <c r="D55" s="102"/>
      <c r="E55" s="102"/>
      <c r="F55" s="102"/>
      <c r="G55" s="102"/>
      <c r="H55" s="102"/>
      <c r="I55" s="102"/>
      <c r="J55" s="138"/>
      <c r="K55" s="138"/>
      <c r="L55" s="138"/>
      <c r="M55" s="138"/>
      <c r="N55" s="78"/>
      <c r="O55" s="31"/>
      <c r="P55" s="146" t="s">
        <v>108</v>
      </c>
      <c r="Q55" s="172" t="s">
        <v>100</v>
      </c>
      <c r="R55" s="113">
        <v>1918.54</v>
      </c>
      <c r="S55" s="116">
        <v>1961.81</v>
      </c>
      <c r="T55" s="116">
        <v>1731.18</v>
      </c>
      <c r="U55" s="113">
        <f t="shared" si="7"/>
        <v>1870.51</v>
      </c>
      <c r="V55" s="166">
        <f t="shared" si="8"/>
        <v>122.58756013560321</v>
      </c>
      <c r="W55" s="176"/>
      <c r="X55" s="287"/>
      <c r="Y55" s="291"/>
      <c r="Z55" s="283"/>
      <c r="AA55" s="283"/>
      <c r="AB55" s="288"/>
      <c r="AC55" s="288"/>
      <c r="AD55" s="288"/>
      <c r="AE55" s="288"/>
      <c r="AF55" s="288"/>
      <c r="AG55" s="288"/>
      <c r="AH55" s="288"/>
      <c r="AI55" s="284"/>
      <c r="AJ55" s="284"/>
      <c r="AK55" s="284"/>
      <c r="AL55" s="284"/>
      <c r="AM55" s="284"/>
      <c r="AN55" s="284"/>
      <c r="AO55" s="284"/>
      <c r="AP55" s="284"/>
      <c r="AQ55" s="284"/>
      <c r="AR55" s="284"/>
      <c r="AS55" s="284"/>
      <c r="AT55" s="284"/>
      <c r="AU55" s="284"/>
      <c r="AV55" s="284"/>
      <c r="AW55" s="284"/>
      <c r="AX55" s="284"/>
      <c r="AY55" s="284"/>
      <c r="AZ55" s="284"/>
      <c r="BA55" s="284"/>
      <c r="BB55" s="284"/>
      <c r="BC55" s="284"/>
      <c r="BD55" s="284"/>
      <c r="BE55" s="284"/>
      <c r="BF55" s="284"/>
      <c r="BG55" s="284"/>
      <c r="BH55" s="284"/>
      <c r="BI55" s="284"/>
      <c r="BJ55" s="284"/>
      <c r="BK55" s="284"/>
      <c r="BL55" s="284"/>
      <c r="BM55" s="284"/>
      <c r="BN55" s="284"/>
      <c r="BO55" s="284"/>
      <c r="BP55" s="284"/>
      <c r="BQ55" s="284"/>
    </row>
    <row r="56" spans="1:69">
      <c r="A56" s="77"/>
      <c r="B56" s="7"/>
      <c r="C56" s="7"/>
      <c r="D56" s="113"/>
      <c r="E56" s="113"/>
      <c r="F56" s="113"/>
      <c r="G56" s="113"/>
      <c r="H56" s="113"/>
      <c r="I56" s="113"/>
      <c r="J56" s="31"/>
      <c r="K56" s="31"/>
      <c r="L56" s="32"/>
      <c r="M56" s="113"/>
      <c r="N56" s="78"/>
      <c r="O56" s="31"/>
      <c r="P56" s="146" t="s">
        <v>109</v>
      </c>
      <c r="Q56" s="172" t="s">
        <v>100</v>
      </c>
      <c r="R56" s="113">
        <v>1371.52</v>
      </c>
      <c r="S56" s="116">
        <v>1329.74</v>
      </c>
      <c r="T56" s="116">
        <v>1257</v>
      </c>
      <c r="U56" s="113">
        <f t="shared" si="7"/>
        <v>1319.42</v>
      </c>
      <c r="V56" s="166">
        <f t="shared" si="8"/>
        <v>57.953294988288498</v>
      </c>
      <c r="W56" s="176"/>
      <c r="X56" s="287">
        <f t="shared" si="6"/>
        <v>1105.0800000000002</v>
      </c>
      <c r="Y56" s="291" t="s">
        <v>52</v>
      </c>
      <c r="Z56" s="283"/>
      <c r="AA56" s="283"/>
      <c r="AB56" s="288"/>
      <c r="AC56" s="288"/>
      <c r="AD56" s="288"/>
      <c r="AE56" s="288"/>
      <c r="AF56" s="288"/>
      <c r="AG56" s="288"/>
      <c r="AH56" s="288"/>
      <c r="AI56" s="284"/>
      <c r="AJ56" s="284"/>
      <c r="AK56" s="284"/>
      <c r="AL56" s="284"/>
      <c r="AM56" s="284"/>
      <c r="AN56" s="284"/>
      <c r="AO56" s="284"/>
      <c r="AP56" s="284"/>
      <c r="AQ56" s="284"/>
      <c r="AR56" s="284"/>
      <c r="AS56" s="284"/>
      <c r="AT56" s="284"/>
      <c r="AU56" s="284"/>
      <c r="AV56" s="284"/>
      <c r="AW56" s="284"/>
      <c r="AX56" s="284"/>
      <c r="AY56" s="284"/>
      <c r="AZ56" s="284"/>
      <c r="BA56" s="284"/>
      <c r="BB56" s="284"/>
      <c r="BC56" s="284"/>
      <c r="BD56" s="284"/>
      <c r="BE56" s="284"/>
      <c r="BF56" s="284"/>
      <c r="BG56" s="284"/>
      <c r="BH56" s="284"/>
      <c r="BI56" s="284"/>
      <c r="BJ56" s="284"/>
      <c r="BK56" s="284"/>
      <c r="BL56" s="284"/>
      <c r="BM56" s="284"/>
      <c r="BN56" s="284"/>
      <c r="BO56" s="284"/>
      <c r="BP56" s="284"/>
      <c r="BQ56" s="284"/>
    </row>
    <row r="57" spans="1:69">
      <c r="A57" s="77"/>
      <c r="B57" s="7"/>
      <c r="C57" s="7"/>
      <c r="D57" s="113"/>
      <c r="E57" s="113"/>
      <c r="F57" s="113"/>
      <c r="G57" s="113"/>
      <c r="H57" s="113"/>
      <c r="I57" s="113"/>
      <c r="J57" s="32"/>
      <c r="K57" s="32"/>
      <c r="L57" s="31"/>
      <c r="M57" s="113"/>
      <c r="N57" s="78"/>
      <c r="O57" s="31"/>
      <c r="P57" s="159" t="s">
        <v>110</v>
      </c>
      <c r="Q57" s="172" t="s">
        <v>100</v>
      </c>
      <c r="R57" s="114">
        <v>899.55</v>
      </c>
      <c r="S57" s="116">
        <v>923.49</v>
      </c>
      <c r="T57" s="117">
        <v>849.18</v>
      </c>
      <c r="U57" s="113">
        <f t="shared" si="7"/>
        <v>890.7399999999999</v>
      </c>
      <c r="V57" s="166">
        <f t="shared" si="8"/>
        <v>37.930279461138547</v>
      </c>
      <c r="W57" s="176"/>
      <c r="X57" s="287"/>
      <c r="Y57" s="283"/>
      <c r="Z57" s="283"/>
      <c r="AA57" s="283"/>
      <c r="AB57" s="288"/>
      <c r="AC57" s="288"/>
      <c r="AD57" s="288"/>
      <c r="AE57" s="288"/>
      <c r="AF57" s="288"/>
      <c r="AG57" s="288"/>
      <c r="AH57" s="288"/>
      <c r="AI57" s="284"/>
      <c r="AJ57" s="284"/>
      <c r="AK57" s="284"/>
      <c r="AL57" s="284"/>
      <c r="AM57" s="284"/>
      <c r="AN57" s="284"/>
      <c r="AO57" s="284"/>
      <c r="AP57" s="284"/>
      <c r="AQ57" s="284"/>
      <c r="AR57" s="284"/>
      <c r="AS57" s="284"/>
      <c r="AT57" s="284"/>
      <c r="AU57" s="284"/>
      <c r="AV57" s="284"/>
      <c r="AW57" s="284"/>
      <c r="AX57" s="284"/>
      <c r="AY57" s="284"/>
      <c r="AZ57" s="284"/>
      <c r="BA57" s="284"/>
      <c r="BB57" s="284"/>
      <c r="BC57" s="284"/>
      <c r="BD57" s="284"/>
      <c r="BE57" s="284"/>
      <c r="BF57" s="284"/>
      <c r="BG57" s="284"/>
      <c r="BH57" s="284"/>
      <c r="BI57" s="284"/>
      <c r="BJ57" s="284"/>
      <c r="BK57" s="284"/>
      <c r="BL57" s="284"/>
      <c r="BM57" s="284"/>
      <c r="BN57" s="284"/>
      <c r="BO57" s="284"/>
      <c r="BP57" s="284"/>
      <c r="BQ57" s="284"/>
    </row>
    <row r="58" spans="1:69">
      <c r="A58" s="77"/>
      <c r="B58" s="7"/>
      <c r="C58" s="7"/>
      <c r="D58" s="113"/>
      <c r="E58" s="113"/>
      <c r="F58" s="113"/>
      <c r="G58" s="113"/>
      <c r="H58" s="113"/>
      <c r="I58" s="113"/>
      <c r="J58" s="32"/>
      <c r="K58" s="32"/>
      <c r="L58" s="32"/>
      <c r="M58" s="109"/>
      <c r="N58" s="78"/>
      <c r="O58" s="31"/>
      <c r="P58" s="146" t="s">
        <v>105</v>
      </c>
      <c r="Q58" s="173" t="s">
        <v>101</v>
      </c>
      <c r="R58" s="113">
        <v>1408.42</v>
      </c>
      <c r="S58" s="115">
        <v>1166.5999999999999</v>
      </c>
      <c r="T58" s="112">
        <v>1111.0999999999999</v>
      </c>
      <c r="U58" s="118">
        <f t="shared" si="7"/>
        <v>1228.7066666666667</v>
      </c>
      <c r="V58" s="167">
        <f t="shared" si="8"/>
        <v>158.0908730235025</v>
      </c>
      <c r="W58" s="176"/>
      <c r="X58" s="287"/>
      <c r="Y58" s="283"/>
      <c r="Z58" s="283"/>
      <c r="AA58" s="283"/>
      <c r="AB58" s="288"/>
      <c r="AC58" s="288"/>
      <c r="AD58" s="288"/>
      <c r="AE58" s="288"/>
      <c r="AF58" s="288"/>
      <c r="AG58" s="288"/>
      <c r="AH58" s="288"/>
      <c r="AI58" s="284"/>
      <c r="AJ58" s="284"/>
      <c r="AK58" s="284"/>
      <c r="AL58" s="284"/>
      <c r="AM58" s="284"/>
      <c r="AN58" s="284"/>
      <c r="AO58" s="284"/>
      <c r="AP58" s="284"/>
      <c r="AQ58" s="284"/>
      <c r="AR58" s="284"/>
      <c r="AS58" s="284"/>
      <c r="AT58" s="284"/>
      <c r="AU58" s="284"/>
      <c r="AV58" s="284"/>
      <c r="AW58" s="284"/>
      <c r="AX58" s="284"/>
      <c r="AY58" s="284"/>
      <c r="AZ58" s="284"/>
      <c r="BA58" s="284"/>
      <c r="BB58" s="284"/>
      <c r="BC58" s="284"/>
      <c r="BD58" s="284"/>
      <c r="BE58" s="284"/>
      <c r="BF58" s="284"/>
      <c r="BG58" s="284"/>
      <c r="BH58" s="284"/>
      <c r="BI58" s="284"/>
      <c r="BJ58" s="284"/>
      <c r="BK58" s="284"/>
      <c r="BL58" s="284"/>
      <c r="BM58" s="284"/>
      <c r="BN58" s="284"/>
      <c r="BO58" s="284"/>
      <c r="BP58" s="284"/>
      <c r="BQ58" s="284"/>
    </row>
    <row r="59" spans="1:69">
      <c r="A59" s="7"/>
      <c r="B59" s="7"/>
      <c r="C59" s="7"/>
      <c r="D59" s="137"/>
      <c r="E59" s="137"/>
      <c r="F59" s="137"/>
      <c r="G59" s="137"/>
      <c r="H59" s="137"/>
      <c r="I59" s="137"/>
      <c r="J59" s="137"/>
      <c r="K59" s="137"/>
      <c r="L59" s="137"/>
      <c r="M59" s="137"/>
      <c r="N59" s="78"/>
      <c r="O59" s="31"/>
      <c r="P59" s="146" t="s">
        <v>106</v>
      </c>
      <c r="Q59" s="172" t="s">
        <v>101</v>
      </c>
      <c r="R59" s="113">
        <v>1514.16</v>
      </c>
      <c r="S59" s="116">
        <v>1220.96</v>
      </c>
      <c r="T59" s="113">
        <v>1205.5</v>
      </c>
      <c r="U59" s="108">
        <f t="shared" si="7"/>
        <v>1313.54</v>
      </c>
      <c r="V59" s="168">
        <f t="shared" si="8"/>
        <v>173.91389018707025</v>
      </c>
      <c r="W59" s="176"/>
      <c r="X59" s="287"/>
      <c r="Y59" s="283"/>
      <c r="Z59" s="283"/>
      <c r="AA59" s="283"/>
      <c r="AB59" s="288"/>
      <c r="AC59" s="288"/>
      <c r="AD59" s="288"/>
      <c r="AE59" s="288"/>
      <c r="AF59" s="288"/>
      <c r="AG59" s="288"/>
      <c r="AH59" s="288"/>
      <c r="AI59" s="284"/>
      <c r="AJ59" s="284"/>
      <c r="AK59" s="284"/>
      <c r="AL59" s="284"/>
      <c r="AM59" s="284"/>
      <c r="AN59" s="284"/>
      <c r="AO59" s="284"/>
      <c r="AP59" s="284"/>
      <c r="AQ59" s="284"/>
      <c r="AR59" s="284"/>
      <c r="AS59" s="284"/>
      <c r="AT59" s="284"/>
      <c r="AU59" s="284"/>
      <c r="AV59" s="284"/>
      <c r="AW59" s="284"/>
      <c r="AX59" s="284"/>
      <c r="AY59" s="284"/>
      <c r="AZ59" s="284"/>
      <c r="BA59" s="284"/>
      <c r="BB59" s="284"/>
      <c r="BC59" s="284"/>
      <c r="BD59" s="284"/>
      <c r="BE59" s="284"/>
      <c r="BF59" s="284"/>
      <c r="BG59" s="284"/>
      <c r="BH59" s="284"/>
      <c r="BI59" s="284"/>
      <c r="BJ59" s="284"/>
      <c r="BK59" s="284"/>
      <c r="BL59" s="284"/>
      <c r="BM59" s="284"/>
      <c r="BN59" s="284"/>
      <c r="BO59" s="284"/>
      <c r="BP59" s="284"/>
      <c r="BQ59" s="284"/>
    </row>
    <row r="60" spans="1:69">
      <c r="A60" s="7"/>
      <c r="B60" s="7"/>
      <c r="C60" s="7"/>
      <c r="D60" s="137"/>
      <c r="E60" s="137"/>
      <c r="F60" s="137"/>
      <c r="G60" s="137"/>
      <c r="H60" s="137"/>
      <c r="I60" s="137"/>
      <c r="J60" s="137"/>
      <c r="K60" s="137"/>
      <c r="L60" s="137"/>
      <c r="M60" s="137"/>
      <c r="N60" s="78"/>
      <c r="O60" s="31"/>
      <c r="P60" s="146" t="s">
        <v>107</v>
      </c>
      <c r="Q60" s="172" t="s">
        <v>101</v>
      </c>
      <c r="R60" s="113">
        <v>2629.48</v>
      </c>
      <c r="S60" s="116">
        <v>2221.1999999999998</v>
      </c>
      <c r="T60" s="113">
        <v>1908.42</v>
      </c>
      <c r="U60" s="108">
        <f t="shared" si="7"/>
        <v>2253.0333333333333</v>
      </c>
      <c r="V60" s="168">
        <f t="shared" si="8"/>
        <v>361.5824964421455</v>
      </c>
      <c r="W60" s="176"/>
      <c r="X60" s="287"/>
      <c r="Y60" s="283"/>
      <c r="Z60" s="283"/>
      <c r="AA60" s="283"/>
      <c r="AB60" s="288"/>
      <c r="AC60" s="288"/>
      <c r="AD60" s="288"/>
      <c r="AE60" s="288"/>
      <c r="AF60" s="288"/>
      <c r="AG60" s="288"/>
      <c r="AH60" s="288"/>
      <c r="AI60" s="284"/>
      <c r="AJ60" s="284"/>
      <c r="AK60" s="284"/>
      <c r="AL60" s="284"/>
      <c r="AM60" s="284"/>
      <c r="AN60" s="284"/>
      <c r="AO60" s="284"/>
      <c r="AP60" s="284"/>
      <c r="AQ60" s="284"/>
      <c r="AR60" s="284"/>
      <c r="AS60" s="284"/>
      <c r="AT60" s="284"/>
      <c r="AU60" s="284"/>
      <c r="AV60" s="284"/>
      <c r="AW60" s="284"/>
      <c r="AX60" s="284"/>
      <c r="AY60" s="284"/>
      <c r="AZ60" s="284"/>
      <c r="BA60" s="284"/>
      <c r="BB60" s="284"/>
      <c r="BC60" s="284"/>
      <c r="BD60" s="284"/>
      <c r="BE60" s="284"/>
      <c r="BF60" s="284"/>
      <c r="BG60" s="284"/>
      <c r="BH60" s="284"/>
      <c r="BI60" s="284"/>
      <c r="BJ60" s="284"/>
      <c r="BK60" s="284"/>
      <c r="BL60" s="284"/>
      <c r="BM60" s="284"/>
      <c r="BN60" s="284"/>
      <c r="BO60" s="284"/>
      <c r="BP60" s="284"/>
      <c r="BQ60" s="284"/>
    </row>
    <row r="61" spans="1:69">
      <c r="O61" s="31"/>
      <c r="P61" s="146" t="s">
        <v>108</v>
      </c>
      <c r="Q61" s="172" t="s">
        <v>101</v>
      </c>
      <c r="R61" s="113">
        <v>2673.9</v>
      </c>
      <c r="S61" s="116">
        <v>2562</v>
      </c>
      <c r="T61" s="113">
        <v>2215.48</v>
      </c>
      <c r="U61" s="108">
        <f t="shared" si="7"/>
        <v>2483.7933333333331</v>
      </c>
      <c r="V61" s="168">
        <f t="shared" si="8"/>
        <v>239.00718845536065</v>
      </c>
      <c r="W61" s="176"/>
      <c r="X61" s="287"/>
      <c r="Y61" s="283"/>
      <c r="Z61" s="283"/>
      <c r="AA61" s="283"/>
      <c r="AB61" s="288"/>
      <c r="AC61" s="288"/>
      <c r="AD61" s="288"/>
      <c r="AE61" s="288"/>
      <c r="AF61" s="288"/>
      <c r="AG61" s="288"/>
      <c r="AH61" s="288"/>
      <c r="AI61" s="284"/>
      <c r="AJ61" s="284"/>
      <c r="AK61" s="284"/>
      <c r="AL61" s="284"/>
      <c r="AM61" s="284"/>
      <c r="AN61" s="284"/>
      <c r="AO61" s="284"/>
      <c r="AP61" s="284"/>
      <c r="AQ61" s="284"/>
      <c r="AR61" s="284"/>
      <c r="AS61" s="284"/>
      <c r="AT61" s="284"/>
      <c r="AU61" s="284"/>
      <c r="AV61" s="284"/>
      <c r="AW61" s="284"/>
      <c r="AX61" s="284"/>
      <c r="AY61" s="284"/>
      <c r="AZ61" s="284"/>
      <c r="BA61" s="284"/>
      <c r="BB61" s="284"/>
      <c r="BC61" s="284"/>
      <c r="BD61" s="284"/>
      <c r="BE61" s="284"/>
      <c r="BF61" s="284"/>
      <c r="BG61" s="284"/>
      <c r="BH61" s="284"/>
      <c r="BI61" s="284"/>
      <c r="BJ61" s="284"/>
      <c r="BK61" s="284"/>
      <c r="BL61" s="284"/>
      <c r="BM61" s="284"/>
      <c r="BN61" s="284"/>
      <c r="BO61" s="284"/>
      <c r="BP61" s="284"/>
      <c r="BQ61" s="284"/>
    </row>
    <row r="62" spans="1:69">
      <c r="O62" s="31"/>
      <c r="P62" s="146" t="s">
        <v>109</v>
      </c>
      <c r="Q62" s="172" t="s">
        <v>101</v>
      </c>
      <c r="R62" s="113">
        <v>1443.2</v>
      </c>
      <c r="S62" s="116">
        <v>1364.46</v>
      </c>
      <c r="T62" s="113">
        <v>1283.8800000000001</v>
      </c>
      <c r="U62" s="108">
        <f t="shared" si="7"/>
        <v>1363.8466666666666</v>
      </c>
      <c r="V62" s="166">
        <f t="shared" si="8"/>
        <v>79.661770839805044</v>
      </c>
      <c r="W62" s="176"/>
      <c r="X62" s="287"/>
      <c r="Y62" s="283"/>
      <c r="Z62" s="283"/>
      <c r="AA62" s="283"/>
      <c r="AB62" s="288"/>
      <c r="AC62" s="288"/>
      <c r="AD62" s="288"/>
      <c r="AE62" s="288"/>
      <c r="AF62" s="288"/>
      <c r="AG62" s="288"/>
      <c r="AH62" s="288"/>
      <c r="AI62" s="284"/>
      <c r="AJ62" s="284"/>
      <c r="AK62" s="284"/>
      <c r="AL62" s="284"/>
      <c r="AM62" s="284"/>
      <c r="AN62" s="284"/>
      <c r="AO62" s="284"/>
      <c r="AP62" s="284"/>
      <c r="AQ62" s="284"/>
      <c r="AR62" s="284"/>
      <c r="AS62" s="284"/>
      <c r="AT62" s="284"/>
      <c r="AU62" s="284"/>
      <c r="AV62" s="284"/>
      <c r="AW62" s="284"/>
      <c r="AX62" s="284"/>
      <c r="AY62" s="284"/>
      <c r="AZ62" s="284"/>
      <c r="BA62" s="284"/>
      <c r="BB62" s="284"/>
      <c r="BC62" s="284"/>
      <c r="BD62" s="284"/>
      <c r="BE62" s="284"/>
      <c r="BF62" s="284"/>
      <c r="BG62" s="284"/>
      <c r="BH62" s="284"/>
      <c r="BI62" s="284"/>
      <c r="BJ62" s="284"/>
      <c r="BK62" s="284"/>
      <c r="BL62" s="284"/>
      <c r="BM62" s="284"/>
      <c r="BN62" s="284"/>
      <c r="BO62" s="284"/>
      <c r="BP62" s="284"/>
      <c r="BQ62" s="284"/>
    </row>
    <row r="63" spans="1:69">
      <c r="O63" s="31"/>
      <c r="P63" s="46" t="s">
        <v>110</v>
      </c>
      <c r="Q63" s="172" t="s">
        <v>101</v>
      </c>
      <c r="R63" s="113">
        <v>1606.62</v>
      </c>
      <c r="S63" s="116">
        <v>1460.6</v>
      </c>
      <c r="T63" s="113">
        <v>1476.86</v>
      </c>
      <c r="U63" s="108">
        <f t="shared" si="7"/>
        <v>1514.6933333333334</v>
      </c>
      <c r="V63" s="166">
        <f t="shared" si="8"/>
        <v>80.024876965436704</v>
      </c>
      <c r="W63" s="176"/>
      <c r="X63" s="287"/>
      <c r="Y63" s="283"/>
      <c r="Z63" s="283"/>
      <c r="AA63" s="283"/>
      <c r="AB63" s="288"/>
      <c r="AC63" s="288"/>
      <c r="AD63" s="288"/>
      <c r="AE63" s="288"/>
      <c r="AF63" s="288"/>
      <c r="AG63" s="288"/>
      <c r="AH63" s="288"/>
      <c r="AI63" s="284"/>
      <c r="AJ63" s="284"/>
      <c r="AK63" s="284"/>
      <c r="AL63" s="284"/>
      <c r="AM63" s="284"/>
      <c r="AN63" s="284"/>
      <c r="AO63" s="284"/>
      <c r="AP63" s="284"/>
      <c r="AQ63" s="284"/>
      <c r="AR63" s="284"/>
      <c r="AS63" s="284"/>
      <c r="AT63" s="284"/>
      <c r="AU63" s="284"/>
      <c r="AV63" s="284"/>
      <c r="AW63" s="284"/>
      <c r="AX63" s="284"/>
      <c r="AY63" s="284"/>
      <c r="AZ63" s="284"/>
      <c r="BA63" s="284"/>
      <c r="BB63" s="284"/>
      <c r="BC63" s="284"/>
      <c r="BD63" s="284"/>
      <c r="BE63" s="284"/>
      <c r="BF63" s="284"/>
      <c r="BG63" s="284"/>
      <c r="BH63" s="284"/>
      <c r="BI63" s="284"/>
      <c r="BJ63" s="284"/>
      <c r="BK63" s="284"/>
      <c r="BL63" s="284"/>
      <c r="BM63" s="284"/>
      <c r="BN63" s="284"/>
      <c r="BO63" s="284"/>
      <c r="BP63" s="284"/>
      <c r="BQ63" s="284"/>
    </row>
    <row r="64" spans="1:69">
      <c r="O64" s="31"/>
      <c r="P64" s="171"/>
      <c r="Q64" s="171"/>
      <c r="R64" s="113"/>
      <c r="S64" s="113"/>
      <c r="T64" s="113"/>
      <c r="U64" s="113"/>
      <c r="V64" s="19"/>
      <c r="W64" s="246"/>
      <c r="X64" s="287"/>
      <c r="Y64" s="283"/>
      <c r="Z64" s="283"/>
      <c r="AA64" s="283"/>
      <c r="AB64" s="288"/>
      <c r="AC64" s="288"/>
      <c r="AD64" s="288"/>
      <c r="AE64" s="288"/>
      <c r="AF64" s="288"/>
      <c r="AG64" s="288"/>
      <c r="AH64" s="288"/>
      <c r="AI64" s="284"/>
      <c r="AJ64" s="284"/>
      <c r="AK64" s="284"/>
      <c r="AL64" s="284"/>
      <c r="AM64" s="284"/>
      <c r="AN64" s="284"/>
      <c r="AO64" s="284"/>
      <c r="AP64" s="284"/>
      <c r="AQ64" s="284"/>
      <c r="AR64" s="284"/>
      <c r="AS64" s="284"/>
      <c r="AT64" s="284"/>
      <c r="AU64" s="284"/>
      <c r="AV64" s="284"/>
      <c r="AW64" s="284"/>
      <c r="AX64" s="284"/>
      <c r="AY64" s="284"/>
      <c r="AZ64" s="284"/>
      <c r="BA64" s="284"/>
      <c r="BB64" s="284"/>
      <c r="BC64" s="284"/>
      <c r="BD64" s="284"/>
      <c r="BE64" s="284"/>
      <c r="BF64" s="284"/>
      <c r="BG64" s="284"/>
      <c r="BH64" s="284"/>
      <c r="BI64" s="284"/>
      <c r="BJ64" s="284"/>
      <c r="BK64" s="284"/>
      <c r="BL64" s="284"/>
      <c r="BM64" s="284"/>
      <c r="BN64" s="284"/>
      <c r="BO64" s="284"/>
      <c r="BP64" s="284"/>
      <c r="BQ64" s="284"/>
    </row>
    <row r="65" spans="15:69">
      <c r="O65" s="31"/>
      <c r="P65" s="171"/>
      <c r="Q65" s="171"/>
      <c r="R65" s="113"/>
      <c r="S65" s="113"/>
      <c r="T65" s="113"/>
      <c r="U65" s="113"/>
      <c r="V65" s="19"/>
      <c r="W65" s="246"/>
      <c r="X65" s="287"/>
      <c r="Y65" s="283"/>
      <c r="Z65" s="283"/>
      <c r="AA65" s="283"/>
      <c r="AB65" s="288"/>
      <c r="AC65" s="288"/>
      <c r="AD65" s="288"/>
      <c r="AE65" s="288"/>
      <c r="AF65" s="288"/>
      <c r="AG65" s="288"/>
      <c r="AH65" s="288"/>
      <c r="AI65" s="284"/>
      <c r="AJ65" s="284"/>
      <c r="AK65" s="284"/>
      <c r="AL65" s="284"/>
      <c r="AM65" s="284"/>
      <c r="AN65" s="284"/>
      <c r="AO65" s="284"/>
      <c r="AP65" s="284"/>
      <c r="AQ65" s="284"/>
      <c r="AR65" s="284"/>
      <c r="AS65" s="284"/>
      <c r="AT65" s="284"/>
      <c r="AU65" s="284"/>
      <c r="AV65" s="284"/>
      <c r="AW65" s="284"/>
      <c r="AX65" s="284"/>
      <c r="AY65" s="284"/>
      <c r="AZ65" s="284"/>
      <c r="BA65" s="284"/>
      <c r="BB65" s="284"/>
      <c r="BC65" s="284"/>
      <c r="BD65" s="284"/>
      <c r="BE65" s="284"/>
      <c r="BF65" s="284"/>
      <c r="BG65" s="284"/>
      <c r="BH65" s="284"/>
      <c r="BI65" s="284"/>
      <c r="BJ65" s="284"/>
      <c r="BK65" s="284"/>
      <c r="BL65" s="284"/>
      <c r="BM65" s="284"/>
      <c r="BN65" s="284"/>
      <c r="BO65" s="284"/>
      <c r="BP65" s="284"/>
      <c r="BQ65" s="284"/>
    </row>
    <row r="66" spans="15:69">
      <c r="O66" s="31"/>
      <c r="P66" s="171"/>
      <c r="Q66" s="171"/>
      <c r="R66" s="113"/>
      <c r="S66" s="113"/>
      <c r="T66" s="113"/>
      <c r="U66" s="113"/>
      <c r="V66" s="19"/>
      <c r="W66" s="246"/>
      <c r="X66" s="287"/>
      <c r="Y66" s="283"/>
      <c r="Z66" s="283"/>
      <c r="AA66" s="283"/>
      <c r="AB66" s="288"/>
      <c r="AC66" s="288"/>
      <c r="AD66" s="288"/>
      <c r="AE66" s="288"/>
      <c r="AF66" s="288"/>
      <c r="AG66" s="288"/>
      <c r="AH66" s="288"/>
      <c r="AI66" s="284"/>
      <c r="AJ66" s="284"/>
      <c r="AK66" s="284"/>
      <c r="AL66" s="284"/>
      <c r="AM66" s="284"/>
      <c r="AN66" s="284"/>
      <c r="AO66" s="284"/>
      <c r="AP66" s="284"/>
      <c r="AQ66" s="284"/>
      <c r="AR66" s="284"/>
      <c r="AS66" s="284"/>
      <c r="AT66" s="284"/>
      <c r="AU66" s="284"/>
      <c r="AV66" s="284"/>
      <c r="AW66" s="284"/>
      <c r="AX66" s="284"/>
      <c r="AY66" s="284"/>
      <c r="AZ66" s="284"/>
      <c r="BA66" s="284"/>
      <c r="BB66" s="284"/>
      <c r="BC66" s="284"/>
      <c r="BD66" s="284"/>
      <c r="BE66" s="284"/>
      <c r="BF66" s="284"/>
      <c r="BG66" s="284"/>
      <c r="BH66" s="284"/>
      <c r="BI66" s="284"/>
      <c r="BJ66" s="284"/>
      <c r="BK66" s="284"/>
      <c r="BL66" s="284"/>
      <c r="BM66" s="284"/>
      <c r="BN66" s="284"/>
      <c r="BO66" s="284"/>
      <c r="BP66" s="284"/>
      <c r="BQ66" s="284"/>
    </row>
    <row r="67" spans="15:69">
      <c r="O67" s="252" t="s">
        <v>122</v>
      </c>
      <c r="P67" s="259" t="s">
        <v>55</v>
      </c>
      <c r="Q67" s="260" t="s">
        <v>99</v>
      </c>
      <c r="R67" s="255" t="s">
        <v>96</v>
      </c>
      <c r="S67" s="256" t="s">
        <v>97</v>
      </c>
      <c r="T67" s="255" t="s">
        <v>98</v>
      </c>
      <c r="U67" s="261" t="s">
        <v>127</v>
      </c>
      <c r="V67" s="262" t="s">
        <v>128</v>
      </c>
      <c r="W67" s="176"/>
      <c r="X67" s="287"/>
      <c r="Y67" s="303"/>
      <c r="Z67" s="303"/>
      <c r="AA67" s="303"/>
      <c r="AB67" s="303"/>
      <c r="AC67" s="182"/>
      <c r="AD67" s="283"/>
      <c r="AE67" s="288"/>
      <c r="AF67" s="288"/>
      <c r="AG67" s="288"/>
      <c r="AH67" s="288"/>
      <c r="AI67" s="284"/>
      <c r="AJ67" s="284"/>
      <c r="AK67" s="284"/>
      <c r="AL67" s="284"/>
      <c r="AM67" s="284"/>
      <c r="AN67" s="284"/>
      <c r="AO67" s="284"/>
      <c r="AP67" s="284"/>
      <c r="AQ67" s="284"/>
      <c r="AR67" s="284"/>
      <c r="AS67" s="284"/>
      <c r="AT67" s="284"/>
      <c r="AU67" s="284"/>
      <c r="AV67" s="284"/>
      <c r="AW67" s="284"/>
      <c r="AX67" s="284"/>
      <c r="AY67" s="284"/>
      <c r="AZ67" s="284"/>
      <c r="BA67" s="284"/>
      <c r="BB67" s="284"/>
      <c r="BC67" s="284"/>
      <c r="BD67" s="284"/>
      <c r="BE67" s="284"/>
      <c r="BF67" s="284"/>
      <c r="BG67" s="284"/>
      <c r="BH67" s="284"/>
      <c r="BI67" s="284"/>
      <c r="BJ67" s="284"/>
      <c r="BK67" s="284"/>
      <c r="BL67" s="284"/>
      <c r="BM67" s="284"/>
      <c r="BN67" s="284"/>
      <c r="BO67" s="284"/>
      <c r="BP67" s="284"/>
      <c r="BQ67" s="284"/>
    </row>
    <row r="68" spans="15:69">
      <c r="O68" s="6"/>
      <c r="P68" s="46" t="s">
        <v>105</v>
      </c>
      <c r="Q68" s="162" t="s">
        <v>100</v>
      </c>
      <c r="R68" s="112">
        <v>31.88</v>
      </c>
      <c r="S68" s="113">
        <v>23.68</v>
      </c>
      <c r="T68" s="113" t="s">
        <v>26</v>
      </c>
      <c r="U68" s="113">
        <f t="shared" ref="U68:U79" si="9">AVERAGE(R68:T68)</f>
        <v>27.78</v>
      </c>
      <c r="V68" s="168">
        <f>STDEV(R68:T68)</f>
        <v>5.7982756057296605</v>
      </c>
      <c r="W68" s="176"/>
      <c r="X68" s="287">
        <f>AVERAGE(R68:T69)</f>
        <v>28.823333333333334</v>
      </c>
      <c r="Y68" s="290" t="s">
        <v>53</v>
      </c>
      <c r="Z68" s="283"/>
      <c r="AA68" s="283"/>
      <c r="AB68" s="288"/>
      <c r="AC68" s="31"/>
      <c r="AD68" s="283"/>
      <c r="AE68" s="288"/>
      <c r="AF68" s="288"/>
      <c r="AG68" s="288"/>
      <c r="AH68" s="288"/>
      <c r="AI68" s="284"/>
      <c r="AJ68" s="284"/>
      <c r="AK68" s="284"/>
      <c r="AL68" s="284"/>
      <c r="AM68" s="284"/>
      <c r="AN68" s="284"/>
      <c r="AO68" s="284"/>
      <c r="AP68" s="284"/>
      <c r="AQ68" s="284"/>
      <c r="AR68" s="284"/>
      <c r="AS68" s="284"/>
      <c r="AT68" s="284"/>
      <c r="AU68" s="284"/>
      <c r="AV68" s="284"/>
      <c r="AW68" s="284"/>
      <c r="AX68" s="284"/>
      <c r="AY68" s="284"/>
      <c r="AZ68" s="284"/>
      <c r="BA68" s="284"/>
      <c r="BB68" s="284"/>
      <c r="BC68" s="284"/>
      <c r="BD68" s="284"/>
      <c r="BE68" s="284"/>
      <c r="BF68" s="284"/>
      <c r="BG68" s="284"/>
      <c r="BH68" s="284"/>
      <c r="BI68" s="284"/>
      <c r="BJ68" s="284"/>
      <c r="BK68" s="284"/>
      <c r="BL68" s="284"/>
      <c r="BM68" s="284"/>
      <c r="BN68" s="284"/>
      <c r="BO68" s="284"/>
      <c r="BP68" s="284"/>
      <c r="BQ68" s="284"/>
    </row>
    <row r="69" spans="15:69">
      <c r="O69" s="6"/>
      <c r="P69" s="146" t="s">
        <v>106</v>
      </c>
      <c r="Q69" s="162" t="s">
        <v>100</v>
      </c>
      <c r="R69" s="113">
        <v>30.91</v>
      </c>
      <c r="S69" s="113" t="s">
        <v>26</v>
      </c>
      <c r="T69" s="113" t="s">
        <v>26</v>
      </c>
      <c r="U69" s="113">
        <f t="shared" si="9"/>
        <v>30.91</v>
      </c>
      <c r="V69" s="168" t="s">
        <v>26</v>
      </c>
      <c r="W69" s="176"/>
      <c r="X69" s="287"/>
      <c r="Y69" s="291"/>
      <c r="Z69" s="283"/>
      <c r="AA69" s="283"/>
      <c r="AB69" s="288"/>
      <c r="AC69" s="31"/>
      <c r="AD69" s="283"/>
      <c r="AE69" s="288"/>
      <c r="AF69" s="288"/>
      <c r="AG69" s="288"/>
      <c r="AH69" s="288"/>
      <c r="AI69" s="284"/>
      <c r="AJ69" s="284"/>
      <c r="AK69" s="284"/>
      <c r="AL69" s="284"/>
      <c r="AM69" s="284"/>
      <c r="AN69" s="284"/>
      <c r="AO69" s="284"/>
      <c r="AP69" s="284"/>
      <c r="AQ69" s="284"/>
      <c r="AR69" s="284"/>
      <c r="AS69" s="284"/>
      <c r="AT69" s="284"/>
      <c r="AU69" s="284"/>
      <c r="AV69" s="284"/>
      <c r="AW69" s="284"/>
      <c r="AX69" s="284"/>
      <c r="AY69" s="284"/>
      <c r="AZ69" s="284"/>
      <c r="BA69" s="284"/>
      <c r="BB69" s="284"/>
      <c r="BC69" s="284"/>
      <c r="BD69" s="284"/>
      <c r="BE69" s="284"/>
      <c r="BF69" s="284"/>
      <c r="BG69" s="284"/>
      <c r="BH69" s="284"/>
      <c r="BI69" s="284"/>
      <c r="BJ69" s="284"/>
      <c r="BK69" s="284"/>
      <c r="BL69" s="284"/>
      <c r="BM69" s="284"/>
      <c r="BN69" s="284"/>
      <c r="BO69" s="284"/>
      <c r="BP69" s="284"/>
      <c r="BQ69" s="284"/>
    </row>
    <row r="70" spans="15:69">
      <c r="O70" s="6"/>
      <c r="P70" s="146" t="s">
        <v>107</v>
      </c>
      <c r="Q70" s="172" t="s">
        <v>100</v>
      </c>
      <c r="R70" s="113">
        <v>146.75</v>
      </c>
      <c r="S70" s="113">
        <v>123.39</v>
      </c>
      <c r="T70" s="113">
        <v>173.88</v>
      </c>
      <c r="U70" s="113">
        <f t="shared" si="9"/>
        <v>148.00666666666666</v>
      </c>
      <c r="V70" s="168">
        <f t="shared" ref="V70:V79" si="10">STDEV(R70:T70)</f>
        <v>25.26844738667852</v>
      </c>
      <c r="W70" s="176"/>
      <c r="X70" s="287">
        <f t="shared" si="6"/>
        <v>143.56666666666666</v>
      </c>
      <c r="Y70" s="291" t="s">
        <v>54</v>
      </c>
      <c r="Z70" s="283"/>
      <c r="AA70" s="283"/>
      <c r="AB70" s="288"/>
      <c r="AC70" s="31"/>
      <c r="AD70" s="283"/>
      <c r="AE70" s="288"/>
      <c r="AF70" s="288"/>
      <c r="AG70" s="288"/>
      <c r="AH70" s="288"/>
      <c r="AI70" s="284"/>
      <c r="AJ70" s="284"/>
      <c r="AK70" s="284"/>
      <c r="AL70" s="284"/>
      <c r="AM70" s="284"/>
      <c r="AN70" s="284"/>
      <c r="AO70" s="284"/>
      <c r="AP70" s="284"/>
      <c r="AQ70" s="284"/>
      <c r="AR70" s="284"/>
      <c r="AS70" s="284"/>
      <c r="AT70" s="284"/>
      <c r="AU70" s="284"/>
      <c r="AV70" s="284"/>
      <c r="AW70" s="284"/>
      <c r="AX70" s="284"/>
      <c r="AY70" s="284"/>
      <c r="AZ70" s="284"/>
      <c r="BA70" s="284"/>
      <c r="BB70" s="284"/>
      <c r="BC70" s="284"/>
      <c r="BD70" s="284"/>
      <c r="BE70" s="284"/>
      <c r="BF70" s="284"/>
      <c r="BG70" s="284"/>
      <c r="BH70" s="284"/>
      <c r="BI70" s="284"/>
      <c r="BJ70" s="284"/>
      <c r="BK70" s="284"/>
      <c r="BL70" s="284"/>
      <c r="BM70" s="284"/>
      <c r="BN70" s="284"/>
      <c r="BO70" s="284"/>
      <c r="BP70" s="284"/>
      <c r="BQ70" s="284"/>
    </row>
    <row r="71" spans="15:69">
      <c r="O71" s="31"/>
      <c r="P71" s="146" t="s">
        <v>108</v>
      </c>
      <c r="Q71" s="172" t="s">
        <v>100</v>
      </c>
      <c r="R71" s="113">
        <v>143.27000000000001</v>
      </c>
      <c r="S71" s="113">
        <v>130.09</v>
      </c>
      <c r="T71" s="113">
        <v>144.02000000000001</v>
      </c>
      <c r="U71" s="113">
        <f t="shared" si="9"/>
        <v>139.12666666666667</v>
      </c>
      <c r="V71" s="168">
        <f t="shared" si="10"/>
        <v>7.8349622419850693</v>
      </c>
      <c r="W71" s="176"/>
      <c r="X71" s="287"/>
      <c r="Y71" s="291"/>
      <c r="AB71" s="183"/>
      <c r="AC71" s="183"/>
      <c r="AD71" s="183"/>
      <c r="AE71" s="183"/>
      <c r="AF71" s="183"/>
      <c r="AG71" s="183"/>
      <c r="AH71" s="183"/>
    </row>
    <row r="72" spans="15:69">
      <c r="O72" s="31"/>
      <c r="P72" s="146" t="s">
        <v>109</v>
      </c>
      <c r="Q72" s="172" t="s">
        <v>100</v>
      </c>
      <c r="R72" s="113">
        <v>57.98</v>
      </c>
      <c r="S72" s="113">
        <v>47.94</v>
      </c>
      <c r="T72" s="113">
        <v>50.48</v>
      </c>
      <c r="U72" s="113">
        <f t="shared" si="9"/>
        <v>52.133333333333326</v>
      </c>
      <c r="V72" s="168">
        <f t="shared" si="10"/>
        <v>5.2202043382739589</v>
      </c>
      <c r="W72" s="176"/>
      <c r="X72" s="287">
        <f t="shared" si="6"/>
        <v>47.593333333333334</v>
      </c>
      <c r="Y72" s="291" t="s">
        <v>52</v>
      </c>
      <c r="AB72" s="183"/>
      <c r="AC72" s="183"/>
      <c r="AD72" s="183"/>
      <c r="AE72" s="183"/>
      <c r="AF72" s="183"/>
      <c r="AG72" s="183"/>
      <c r="AH72" s="183"/>
    </row>
    <row r="73" spans="15:69">
      <c r="O73" s="31"/>
      <c r="P73" s="159" t="s">
        <v>110</v>
      </c>
      <c r="Q73" s="172" t="s">
        <v>100</v>
      </c>
      <c r="R73" s="114">
        <v>48.34</v>
      </c>
      <c r="S73" s="113">
        <v>38.22</v>
      </c>
      <c r="T73" s="114">
        <v>42.6</v>
      </c>
      <c r="U73" s="113">
        <f t="shared" si="9"/>
        <v>43.053333333333335</v>
      </c>
      <c r="V73" s="168">
        <f t="shared" si="10"/>
        <v>5.0752077133191129</v>
      </c>
      <c r="W73" s="244"/>
      <c r="X73" s="287"/>
      <c r="AB73" s="183"/>
      <c r="AC73" s="183"/>
      <c r="AD73" s="183"/>
      <c r="AE73" s="183"/>
      <c r="AF73" s="183"/>
      <c r="AG73" s="183"/>
      <c r="AH73" s="183"/>
    </row>
    <row r="74" spans="15:69">
      <c r="O74" s="31"/>
      <c r="P74" s="146" t="s">
        <v>105</v>
      </c>
      <c r="Q74" s="173" t="s">
        <v>101</v>
      </c>
      <c r="R74" s="113">
        <v>51.3</v>
      </c>
      <c r="S74" s="108" t="s">
        <v>26</v>
      </c>
      <c r="T74" s="112">
        <v>18.559999999999999</v>
      </c>
      <c r="U74" s="118">
        <f>AVERAGE(R74,T74)</f>
        <v>34.93</v>
      </c>
      <c r="V74" s="167">
        <f>STDEV(R74,T74)</f>
        <v>23.150676016047552</v>
      </c>
      <c r="W74" s="244"/>
      <c r="X74" s="287"/>
      <c r="AB74" s="183"/>
      <c r="AC74" s="183"/>
      <c r="AD74" s="183"/>
      <c r="AE74" s="183"/>
      <c r="AF74" s="183"/>
      <c r="AG74" s="183"/>
      <c r="AH74" s="183"/>
    </row>
    <row r="75" spans="15:69">
      <c r="O75" s="31"/>
      <c r="P75" s="146" t="s">
        <v>106</v>
      </c>
      <c r="Q75" s="172" t="s">
        <v>101</v>
      </c>
      <c r="R75" s="113">
        <v>10.78</v>
      </c>
      <c r="S75" s="113" t="s">
        <v>26</v>
      </c>
      <c r="T75" s="108" t="s">
        <v>26</v>
      </c>
      <c r="U75" s="108">
        <f>AVERAGE(R75)</f>
        <v>10.78</v>
      </c>
      <c r="V75" s="168" t="s">
        <v>26</v>
      </c>
      <c r="W75" s="244"/>
      <c r="X75" s="287"/>
      <c r="AB75" s="183"/>
      <c r="AC75" s="183"/>
      <c r="AD75" s="183"/>
      <c r="AE75" s="183"/>
      <c r="AF75" s="183"/>
      <c r="AG75" s="183"/>
      <c r="AH75" s="183"/>
    </row>
    <row r="76" spans="15:69">
      <c r="O76" s="31"/>
      <c r="P76" s="146" t="s">
        <v>107</v>
      </c>
      <c r="Q76" s="172" t="s">
        <v>101</v>
      </c>
      <c r="R76" s="113">
        <v>162.63999999999999</v>
      </c>
      <c r="S76" s="113">
        <v>123.66</v>
      </c>
      <c r="T76" s="113">
        <v>117.06</v>
      </c>
      <c r="U76" s="108">
        <f t="shared" si="9"/>
        <v>134.45333333333332</v>
      </c>
      <c r="V76" s="168">
        <f t="shared" si="10"/>
        <v>24.632420370993582</v>
      </c>
      <c r="W76" s="244"/>
      <c r="X76" s="287"/>
      <c r="AB76" s="183"/>
      <c r="AC76" s="183"/>
      <c r="AD76" s="183"/>
      <c r="AE76" s="183"/>
      <c r="AF76" s="183"/>
      <c r="AG76" s="183"/>
      <c r="AH76" s="183"/>
    </row>
    <row r="77" spans="15:69">
      <c r="O77" s="31"/>
      <c r="P77" s="146" t="s">
        <v>108</v>
      </c>
      <c r="Q77" s="172" t="s">
        <v>101</v>
      </c>
      <c r="R77" s="113">
        <v>136.5</v>
      </c>
      <c r="S77" s="113">
        <v>102.1</v>
      </c>
      <c r="T77" s="113" t="s">
        <v>26</v>
      </c>
      <c r="U77" s="108">
        <f t="shared" si="9"/>
        <v>119.3</v>
      </c>
      <c r="V77" s="168">
        <f>STDEV(R77:S77)</f>
        <v>24.324473272817166</v>
      </c>
      <c r="W77" s="244"/>
      <c r="X77" s="287"/>
      <c r="AB77" s="183"/>
      <c r="AC77" s="183"/>
      <c r="AD77" s="183"/>
      <c r="AE77" s="183"/>
      <c r="AF77" s="183"/>
      <c r="AG77" s="183"/>
      <c r="AH77" s="183"/>
    </row>
    <row r="78" spans="15:69">
      <c r="O78" s="31"/>
      <c r="P78" s="146" t="s">
        <v>109</v>
      </c>
      <c r="Q78" s="172" t="s">
        <v>101</v>
      </c>
      <c r="R78" s="113">
        <v>61.6</v>
      </c>
      <c r="S78" s="113">
        <v>41.1</v>
      </c>
      <c r="T78" s="113">
        <v>41.64</v>
      </c>
      <c r="U78" s="108">
        <f t="shared" si="9"/>
        <v>48.113333333333337</v>
      </c>
      <c r="V78" s="168">
        <f t="shared" si="10"/>
        <v>11.682916302590463</v>
      </c>
      <c r="W78" s="244"/>
      <c r="X78" s="287"/>
      <c r="AB78" s="183"/>
      <c r="AC78" s="183"/>
      <c r="AD78" s="183"/>
      <c r="AE78" s="183"/>
      <c r="AF78" s="183"/>
      <c r="AG78" s="183"/>
      <c r="AH78" s="183"/>
    </row>
    <row r="79" spans="15:69">
      <c r="O79" s="31"/>
      <c r="P79" s="46" t="s">
        <v>110</v>
      </c>
      <c r="Q79" s="172" t="s">
        <v>101</v>
      </c>
      <c r="R79" s="113">
        <v>21.78</v>
      </c>
      <c r="S79" s="113" t="s">
        <v>26</v>
      </c>
      <c r="T79" s="113">
        <v>16.88</v>
      </c>
      <c r="U79" s="108">
        <f t="shared" si="9"/>
        <v>19.329999999999998</v>
      </c>
      <c r="V79" s="168">
        <f t="shared" si="10"/>
        <v>3.4648232278141151</v>
      </c>
      <c r="W79" s="244"/>
      <c r="X79" s="287"/>
      <c r="AB79" s="183"/>
      <c r="AC79" s="183"/>
      <c r="AD79" s="183"/>
      <c r="AE79" s="183"/>
      <c r="AF79" s="183"/>
      <c r="AG79" s="183"/>
      <c r="AH79" s="183"/>
    </row>
    <row r="80" spans="15:69">
      <c r="O80" s="31"/>
      <c r="P80" s="171"/>
      <c r="Q80" s="258"/>
      <c r="R80" s="113"/>
      <c r="S80" s="113"/>
      <c r="T80" s="113"/>
      <c r="U80" s="113"/>
      <c r="V80" s="31"/>
      <c r="W80" s="183"/>
      <c r="X80" s="287"/>
      <c r="AB80" s="183"/>
      <c r="AC80" s="183"/>
      <c r="AD80" s="183"/>
      <c r="AE80" s="183"/>
      <c r="AF80" s="183"/>
      <c r="AG80" s="183"/>
      <c r="AH80" s="183"/>
    </row>
    <row r="81" spans="14:34">
      <c r="O81" s="31"/>
      <c r="P81" s="171"/>
      <c r="Q81" s="258"/>
      <c r="R81" s="113"/>
      <c r="S81" s="113"/>
      <c r="T81" s="113"/>
      <c r="U81" s="113"/>
      <c r="V81" s="31"/>
      <c r="W81" s="183"/>
      <c r="X81" s="287"/>
      <c r="AB81" s="183"/>
      <c r="AC81" s="183"/>
      <c r="AD81" s="183"/>
      <c r="AE81" s="183"/>
      <c r="AF81" s="183"/>
      <c r="AG81" s="183"/>
      <c r="AH81" s="183"/>
    </row>
    <row r="82" spans="14:34">
      <c r="O82" s="31"/>
      <c r="P82" s="171"/>
      <c r="Q82" s="258"/>
      <c r="R82" s="113"/>
      <c r="S82" s="113"/>
      <c r="T82" s="113"/>
      <c r="U82" s="113"/>
      <c r="V82" s="31"/>
      <c r="W82" s="183"/>
      <c r="X82" s="287"/>
      <c r="AB82" s="183"/>
      <c r="AD82" s="183"/>
      <c r="AE82" s="183"/>
      <c r="AF82" s="183"/>
      <c r="AG82" s="183"/>
      <c r="AH82" s="183"/>
    </row>
    <row r="83" spans="14:34">
      <c r="O83" s="87" t="s">
        <v>123</v>
      </c>
      <c r="P83" s="259" t="s">
        <v>55</v>
      </c>
      <c r="Q83" s="260" t="s">
        <v>99</v>
      </c>
      <c r="R83" s="255" t="s">
        <v>96</v>
      </c>
      <c r="S83" s="256" t="s">
        <v>97</v>
      </c>
      <c r="T83" s="255" t="s">
        <v>98</v>
      </c>
      <c r="U83" s="261" t="s">
        <v>127</v>
      </c>
      <c r="V83" s="262" t="s">
        <v>128</v>
      </c>
      <c r="W83" s="176"/>
      <c r="X83" s="287"/>
      <c r="Y83" s="304"/>
      <c r="Z83" s="304"/>
      <c r="AA83" s="304"/>
      <c r="AB83" s="304"/>
      <c r="AC83" s="182"/>
      <c r="AG83" s="183"/>
      <c r="AH83" s="183"/>
    </row>
    <row r="84" spans="14:34">
      <c r="O84" s="31"/>
      <c r="P84" s="146" t="s">
        <v>105</v>
      </c>
      <c r="Q84" s="172" t="s">
        <v>100</v>
      </c>
      <c r="R84" s="115">
        <v>474.85</v>
      </c>
      <c r="S84" s="116">
        <v>583.95000000000005</v>
      </c>
      <c r="T84" s="116">
        <v>694.92</v>
      </c>
      <c r="U84" s="113">
        <f t="shared" ref="U84:U95" si="11">AVERAGE(R84:T84)</f>
        <v>584.57333333333338</v>
      </c>
      <c r="V84" s="166">
        <f>STDEV(R84:T84)</f>
        <v>110.03632415404078</v>
      </c>
      <c r="W84" s="176"/>
      <c r="X84" s="287">
        <f t="shared" si="6"/>
        <v>701.05500000000018</v>
      </c>
      <c r="Y84" s="290" t="s">
        <v>53</v>
      </c>
      <c r="AB84" s="183"/>
      <c r="AC84" s="31"/>
      <c r="AG84" s="183"/>
      <c r="AH84" s="183"/>
    </row>
    <row r="85" spans="14:34">
      <c r="N85" s="78"/>
      <c r="O85" s="31"/>
      <c r="P85" s="146" t="s">
        <v>106</v>
      </c>
      <c r="Q85" s="172" t="s">
        <v>100</v>
      </c>
      <c r="R85" s="116">
        <v>753.77</v>
      </c>
      <c r="S85" s="116">
        <v>822.24</v>
      </c>
      <c r="T85" s="116">
        <v>876.6</v>
      </c>
      <c r="U85" s="113">
        <f t="shared" si="11"/>
        <v>817.53666666666675</v>
      </c>
      <c r="V85" s="166">
        <f t="shared" ref="V85:V95" si="12">STDEV(R85:T85)</f>
        <v>61.549924722401151</v>
      </c>
      <c r="W85" s="176"/>
      <c r="X85" s="287"/>
      <c r="Y85" s="291"/>
      <c r="AB85" s="183"/>
      <c r="AC85" s="31"/>
      <c r="AG85" s="183"/>
      <c r="AH85" s="183"/>
    </row>
    <row r="86" spans="14:34">
      <c r="N86" s="31"/>
      <c r="O86" s="31"/>
      <c r="P86" s="146" t="s">
        <v>107</v>
      </c>
      <c r="Q86" s="172" t="s">
        <v>100</v>
      </c>
      <c r="R86" s="116">
        <v>334.89</v>
      </c>
      <c r="S86" s="116">
        <v>378.26</v>
      </c>
      <c r="T86" s="116">
        <v>406.02</v>
      </c>
      <c r="U86" s="113">
        <f t="shared" si="11"/>
        <v>373.05666666666667</v>
      </c>
      <c r="V86" s="166">
        <f t="shared" si="12"/>
        <v>35.849340765672167</v>
      </c>
      <c r="W86" s="176"/>
      <c r="X86" s="287">
        <f t="shared" si="6"/>
        <v>369.53166666666669</v>
      </c>
      <c r="Y86" s="291" t="s">
        <v>54</v>
      </c>
      <c r="AB86" s="183"/>
      <c r="AC86" s="31"/>
      <c r="AG86" s="183"/>
      <c r="AH86" s="183"/>
    </row>
    <row r="87" spans="14:34">
      <c r="N87" s="31"/>
      <c r="O87" s="31"/>
      <c r="P87" s="146" t="s">
        <v>108</v>
      </c>
      <c r="Q87" s="172" t="s">
        <v>100</v>
      </c>
      <c r="R87" s="116">
        <v>320.95</v>
      </c>
      <c r="S87" s="116">
        <v>348.67</v>
      </c>
      <c r="T87" s="116">
        <v>428.4</v>
      </c>
      <c r="U87" s="113">
        <f t="shared" si="11"/>
        <v>366.00666666666666</v>
      </c>
      <c r="V87" s="166">
        <f t="shared" si="12"/>
        <v>55.783470968856882</v>
      </c>
      <c r="W87" s="176"/>
      <c r="X87" s="287"/>
      <c r="Y87" s="291"/>
      <c r="AB87" s="183"/>
      <c r="AC87" s="183"/>
      <c r="AD87" s="183"/>
      <c r="AE87" s="183"/>
      <c r="AF87" s="183"/>
      <c r="AG87" s="183"/>
      <c r="AH87" s="183"/>
    </row>
    <row r="88" spans="14:34">
      <c r="N88" s="31"/>
      <c r="O88" s="31"/>
      <c r="P88" s="146" t="s">
        <v>109</v>
      </c>
      <c r="Q88" s="172" t="s">
        <v>100</v>
      </c>
      <c r="R88" s="116">
        <v>1465.94</v>
      </c>
      <c r="S88" s="116">
        <v>1487.44</v>
      </c>
      <c r="T88" s="116">
        <v>1537.18</v>
      </c>
      <c r="U88" s="113">
        <f t="shared" si="11"/>
        <v>1496.8533333333335</v>
      </c>
      <c r="V88" s="166">
        <f t="shared" si="12"/>
        <v>36.540970612897901</v>
      </c>
      <c r="W88" s="176"/>
      <c r="X88" s="287">
        <f t="shared" si="6"/>
        <v>1506.9566666666667</v>
      </c>
      <c r="Y88" s="291" t="s">
        <v>52</v>
      </c>
      <c r="AB88" s="183"/>
      <c r="AC88" s="183"/>
      <c r="AD88" s="183"/>
      <c r="AE88" s="183"/>
      <c r="AF88" s="183"/>
      <c r="AG88" s="183"/>
      <c r="AH88" s="183"/>
    </row>
    <row r="89" spans="14:34">
      <c r="N89" s="31"/>
      <c r="O89" s="31"/>
      <c r="P89" s="159" t="s">
        <v>110</v>
      </c>
      <c r="Q89" s="172" t="s">
        <v>100</v>
      </c>
      <c r="R89" s="117">
        <v>1522.13</v>
      </c>
      <c r="S89" s="116">
        <v>1542.75</v>
      </c>
      <c r="T89" s="117">
        <v>1486.3</v>
      </c>
      <c r="U89" s="113">
        <f t="shared" si="11"/>
        <v>1517.0600000000002</v>
      </c>
      <c r="V89" s="166">
        <f t="shared" si="12"/>
        <v>28.564476189824109</v>
      </c>
      <c r="W89" s="176"/>
      <c r="X89" s="287"/>
      <c r="AB89" s="183"/>
      <c r="AC89" s="183"/>
      <c r="AD89" s="183"/>
      <c r="AE89" s="183"/>
      <c r="AF89" s="183"/>
      <c r="AG89" s="183"/>
      <c r="AH89" s="183"/>
    </row>
    <row r="90" spans="14:34">
      <c r="N90" s="31"/>
      <c r="O90" s="31"/>
      <c r="P90" s="146" t="s">
        <v>105</v>
      </c>
      <c r="Q90" s="173" t="s">
        <v>101</v>
      </c>
      <c r="R90" s="116">
        <v>1140.8399999999999</v>
      </c>
      <c r="S90" s="115">
        <v>1432.08</v>
      </c>
      <c r="T90" s="115">
        <v>1362.96</v>
      </c>
      <c r="U90" s="118">
        <f t="shared" si="11"/>
        <v>1311.96</v>
      </c>
      <c r="V90" s="170">
        <f t="shared" si="12"/>
        <v>152.1707409458194</v>
      </c>
      <c r="W90" s="176"/>
      <c r="X90" s="287"/>
      <c r="AB90" s="183"/>
      <c r="AC90" s="183"/>
      <c r="AD90" s="183"/>
      <c r="AE90" s="183"/>
      <c r="AF90" s="183"/>
      <c r="AG90" s="183"/>
      <c r="AH90" s="183"/>
    </row>
    <row r="91" spans="14:34">
      <c r="N91" s="78"/>
      <c r="O91" s="31"/>
      <c r="P91" s="146" t="s">
        <v>106</v>
      </c>
      <c r="Q91" s="172" t="s">
        <v>101</v>
      </c>
      <c r="R91" s="116">
        <v>2933.96</v>
      </c>
      <c r="S91" s="116">
        <v>2396.96</v>
      </c>
      <c r="T91" s="116">
        <v>2562.84</v>
      </c>
      <c r="U91" s="108">
        <f>AVERAGE(R91:T91)</f>
        <v>2631.2533333333336</v>
      </c>
      <c r="V91" s="166">
        <f>STDEV(R91:T91)</f>
        <v>274.95915720945607</v>
      </c>
      <c r="W91" s="176"/>
      <c r="X91" s="287"/>
      <c r="AB91" s="183"/>
      <c r="AC91" s="183"/>
      <c r="AD91" s="183"/>
      <c r="AE91" s="183"/>
      <c r="AF91" s="183"/>
      <c r="AG91" s="183"/>
      <c r="AH91" s="183"/>
    </row>
    <row r="92" spans="14:34">
      <c r="N92" s="78"/>
      <c r="O92" s="31"/>
      <c r="P92" s="146" t="s">
        <v>107</v>
      </c>
      <c r="Q92" s="172" t="s">
        <v>101</v>
      </c>
      <c r="R92" s="116">
        <v>1048.46</v>
      </c>
      <c r="S92" s="116">
        <v>960.82</v>
      </c>
      <c r="T92" s="116">
        <v>602.82000000000005</v>
      </c>
      <c r="U92" s="108">
        <f t="shared" si="11"/>
        <v>870.70000000000016</v>
      </c>
      <c r="V92" s="166">
        <f t="shared" si="12"/>
        <v>236.09312399983116</v>
      </c>
      <c r="W92" s="176"/>
      <c r="X92" s="287"/>
      <c r="AB92" s="183"/>
      <c r="AC92" s="183"/>
      <c r="AD92" s="183"/>
      <c r="AE92" s="183"/>
      <c r="AF92" s="183"/>
      <c r="AG92" s="183"/>
      <c r="AH92" s="183"/>
    </row>
    <row r="93" spans="14:34">
      <c r="O93" s="31"/>
      <c r="P93" s="146" t="s">
        <v>108</v>
      </c>
      <c r="Q93" s="172" t="s">
        <v>101</v>
      </c>
      <c r="R93" s="116">
        <v>1834.16</v>
      </c>
      <c r="S93" s="116">
        <v>1554.78</v>
      </c>
      <c r="T93" s="116">
        <v>1238.1400000000001</v>
      </c>
      <c r="U93" s="108">
        <f t="shared" si="11"/>
        <v>1542.36</v>
      </c>
      <c r="V93" s="166">
        <f t="shared" si="12"/>
        <v>298.20404490885176</v>
      </c>
      <c r="W93" s="176"/>
      <c r="X93" s="287"/>
      <c r="AB93" s="183"/>
      <c r="AC93" s="183"/>
      <c r="AD93" s="183"/>
      <c r="AE93" s="183"/>
      <c r="AF93" s="183"/>
      <c r="AG93" s="183"/>
      <c r="AH93" s="183"/>
    </row>
    <row r="94" spans="14:34">
      <c r="O94" s="31"/>
      <c r="P94" s="146" t="s">
        <v>109</v>
      </c>
      <c r="Q94" s="172" t="s">
        <v>101</v>
      </c>
      <c r="R94" s="116">
        <v>1738.68</v>
      </c>
      <c r="S94" s="116">
        <v>1604.12</v>
      </c>
      <c r="T94" s="116">
        <v>1604.62</v>
      </c>
      <c r="U94" s="108">
        <f t="shared" si="11"/>
        <v>1649.14</v>
      </c>
      <c r="V94" s="166">
        <f t="shared" si="12"/>
        <v>77.544317651259718</v>
      </c>
      <c r="W94" s="176"/>
      <c r="X94" s="287"/>
      <c r="AB94" s="183"/>
      <c r="AC94" s="183"/>
      <c r="AD94" s="183"/>
      <c r="AE94" s="183"/>
      <c r="AF94" s="183"/>
      <c r="AG94" s="183"/>
      <c r="AH94" s="183"/>
    </row>
    <row r="95" spans="14:34">
      <c r="O95" s="31"/>
      <c r="P95" s="146" t="s">
        <v>110</v>
      </c>
      <c r="Q95" s="172" t="s">
        <v>101</v>
      </c>
      <c r="R95" s="116">
        <v>2115.8000000000002</v>
      </c>
      <c r="S95" s="116">
        <v>2013.86</v>
      </c>
      <c r="T95" s="116">
        <v>2218.34</v>
      </c>
      <c r="U95" s="108">
        <f t="shared" si="11"/>
        <v>2116</v>
      </c>
      <c r="V95" s="166">
        <f t="shared" si="12"/>
        <v>102.24014671350601</v>
      </c>
      <c r="W95" s="176"/>
      <c r="X95" s="287"/>
      <c r="AB95" s="183"/>
      <c r="AC95" s="183"/>
      <c r="AD95" s="183"/>
      <c r="AE95" s="183"/>
      <c r="AF95" s="183"/>
      <c r="AG95" s="183"/>
      <c r="AH95" s="183"/>
    </row>
    <row r="96" spans="14:34">
      <c r="O96" s="31"/>
      <c r="P96" s="258"/>
      <c r="Q96" s="258"/>
      <c r="R96" s="113"/>
      <c r="S96" s="113"/>
      <c r="T96" s="113"/>
      <c r="U96" s="113"/>
      <c r="V96" s="31"/>
      <c r="W96" s="246"/>
      <c r="X96" s="287"/>
      <c r="AB96" s="183"/>
      <c r="AC96" s="183"/>
      <c r="AD96" s="183"/>
      <c r="AE96" s="183"/>
      <c r="AF96" s="183"/>
      <c r="AG96" s="183"/>
      <c r="AH96" s="183"/>
    </row>
    <row r="97" spans="10:34">
      <c r="O97" s="31"/>
      <c r="P97" s="171"/>
      <c r="Q97" s="171"/>
      <c r="R97" s="113"/>
      <c r="S97" s="113"/>
      <c r="T97" s="113"/>
      <c r="U97" s="113"/>
      <c r="V97" s="31"/>
      <c r="W97" s="246"/>
      <c r="X97" s="287"/>
      <c r="AB97" s="183"/>
      <c r="AC97" s="183"/>
      <c r="AD97" s="183"/>
      <c r="AE97" s="183"/>
      <c r="AF97" s="183"/>
      <c r="AG97" s="183"/>
      <c r="AH97" s="183"/>
    </row>
    <row r="98" spans="10:34">
      <c r="O98" s="31"/>
      <c r="P98" s="171"/>
      <c r="Q98" s="171"/>
      <c r="R98" s="113"/>
      <c r="S98" s="113"/>
      <c r="T98" s="113"/>
      <c r="U98" s="113"/>
      <c r="V98" s="31"/>
      <c r="W98" s="246"/>
      <c r="X98" s="287"/>
      <c r="AB98" s="183"/>
      <c r="AC98" s="183"/>
      <c r="AD98" s="183"/>
      <c r="AE98" s="183"/>
      <c r="AF98" s="183"/>
      <c r="AG98" s="183"/>
      <c r="AH98" s="183"/>
    </row>
    <row r="99" spans="10:34">
      <c r="O99" s="87" t="s">
        <v>0</v>
      </c>
      <c r="P99" s="259" t="s">
        <v>55</v>
      </c>
      <c r="Q99" s="260" t="s">
        <v>99</v>
      </c>
      <c r="R99" s="255" t="s">
        <v>96</v>
      </c>
      <c r="S99" s="256" t="s">
        <v>97</v>
      </c>
      <c r="T99" s="255" t="s">
        <v>98</v>
      </c>
      <c r="U99" s="261" t="s">
        <v>127</v>
      </c>
      <c r="V99" s="262" t="s">
        <v>128</v>
      </c>
      <c r="W99" s="176"/>
      <c r="X99" s="287"/>
      <c r="AB99" s="183"/>
      <c r="AC99" s="183"/>
      <c r="AD99" s="183"/>
      <c r="AE99" s="183"/>
      <c r="AF99" s="183"/>
      <c r="AG99" s="183"/>
      <c r="AH99" s="183"/>
    </row>
    <row r="100" spans="10:34">
      <c r="O100" s="31"/>
      <c r="P100" s="46" t="s">
        <v>105</v>
      </c>
      <c r="Q100" s="162" t="s">
        <v>100</v>
      </c>
      <c r="R100" s="56">
        <v>0.58099999999999996</v>
      </c>
      <c r="S100" s="31">
        <v>0.65500000000000003</v>
      </c>
      <c r="T100" s="31">
        <v>0.55800000000000005</v>
      </c>
      <c r="U100" s="31">
        <f t="shared" ref="U100:U111" si="13">AVERAGE(R100:T100)</f>
        <v>0.59799999999999998</v>
      </c>
      <c r="V100" s="166">
        <f t="shared" ref="V100:V111" si="14">STDEV(R100:T100)</f>
        <v>5.0685303589896077E-2</v>
      </c>
      <c r="W100" s="176"/>
      <c r="X100" s="287">
        <f t="shared" ref="X100:X152" si="15">AVERAGE(R100:T101)</f>
        <v>0.47266666666666662</v>
      </c>
      <c r="Y100" s="290" t="s">
        <v>53</v>
      </c>
      <c r="AB100" s="183"/>
      <c r="AC100" s="183"/>
      <c r="AD100" s="183"/>
      <c r="AE100" s="183"/>
      <c r="AF100" s="183"/>
      <c r="AG100" s="183"/>
      <c r="AH100" s="183"/>
    </row>
    <row r="101" spans="10:34">
      <c r="O101" s="31"/>
      <c r="P101" s="46" t="s">
        <v>106</v>
      </c>
      <c r="Q101" s="162" t="s">
        <v>100</v>
      </c>
      <c r="R101" s="55">
        <v>0.373</v>
      </c>
      <c r="S101" s="31">
        <v>0.38300000000000001</v>
      </c>
      <c r="T101" s="31">
        <v>0.28599999999999998</v>
      </c>
      <c r="U101" s="31">
        <f t="shared" si="13"/>
        <v>0.34733333333333333</v>
      </c>
      <c r="V101" s="166">
        <f t="shared" si="14"/>
        <v>5.3351038727782157E-2</v>
      </c>
      <c r="W101" s="176"/>
      <c r="X101" s="287"/>
      <c r="Y101" s="291"/>
      <c r="AB101" s="183"/>
      <c r="AC101" s="183"/>
      <c r="AD101" s="183"/>
      <c r="AE101" s="183"/>
      <c r="AF101" s="183"/>
      <c r="AG101" s="183"/>
      <c r="AH101" s="183"/>
    </row>
    <row r="102" spans="10:34">
      <c r="O102" s="31"/>
      <c r="P102" s="46" t="s">
        <v>107</v>
      </c>
      <c r="Q102" s="172" t="s">
        <v>100</v>
      </c>
      <c r="R102" s="55">
        <v>0.51300000000000001</v>
      </c>
      <c r="S102" s="31">
        <f>0.516*2</f>
        <v>1.032</v>
      </c>
      <c r="T102" s="31">
        <v>0.55700000000000005</v>
      </c>
      <c r="U102" s="31">
        <f t="shared" si="13"/>
        <v>0.70066666666666666</v>
      </c>
      <c r="V102" s="166">
        <f t="shared" si="14"/>
        <v>0.28778522083896768</v>
      </c>
      <c r="W102" s="176"/>
      <c r="X102" s="287">
        <f t="shared" si="15"/>
        <v>0.45416666666666661</v>
      </c>
      <c r="Y102" s="291" t="s">
        <v>54</v>
      </c>
      <c r="AB102" s="183"/>
      <c r="AC102" s="183"/>
      <c r="AD102" s="183"/>
      <c r="AE102" s="183"/>
      <c r="AF102" s="183"/>
      <c r="AG102" s="183"/>
      <c r="AH102" s="183"/>
    </row>
    <row r="103" spans="10:34">
      <c r="O103" s="31"/>
      <c r="P103" s="46" t="s">
        <v>108</v>
      </c>
      <c r="Q103" s="172" t="s">
        <v>100</v>
      </c>
      <c r="R103" s="55">
        <v>0.20200000000000001</v>
      </c>
      <c r="S103" s="31">
        <v>0.23</v>
      </c>
      <c r="T103" s="31">
        <v>0.191</v>
      </c>
      <c r="U103" s="31">
        <f t="shared" si="13"/>
        <v>0.20766666666666667</v>
      </c>
      <c r="V103" s="166">
        <f t="shared" si="14"/>
        <v>2.0108041509140716E-2</v>
      </c>
      <c r="W103" s="176"/>
      <c r="X103" s="287"/>
      <c r="Y103" s="291"/>
      <c r="AB103" s="183"/>
      <c r="AC103" s="183"/>
      <c r="AD103" s="183"/>
      <c r="AE103" s="183"/>
      <c r="AF103" s="183"/>
      <c r="AG103" s="183"/>
      <c r="AH103" s="183"/>
    </row>
    <row r="104" spans="10:34">
      <c r="J104" s="137"/>
      <c r="K104" s="137"/>
      <c r="L104" s="137"/>
      <c r="M104" s="137"/>
      <c r="O104" s="31"/>
      <c r="P104" s="46" t="s">
        <v>109</v>
      </c>
      <c r="Q104" s="172" t="s">
        <v>100</v>
      </c>
      <c r="R104" s="55">
        <v>1.331</v>
      </c>
      <c r="S104" s="31">
        <v>1.579</v>
      </c>
      <c r="T104" s="31">
        <v>1.34</v>
      </c>
      <c r="U104" s="31">
        <f t="shared" si="13"/>
        <v>1.4166666666666667</v>
      </c>
      <c r="V104" s="166">
        <f t="shared" si="14"/>
        <v>0.14065679270242659</v>
      </c>
      <c r="W104" s="176"/>
      <c r="X104" s="287">
        <f t="shared" si="15"/>
        <v>0.80333333333333334</v>
      </c>
      <c r="Y104" s="291" t="s">
        <v>52</v>
      </c>
      <c r="AB104" s="183"/>
      <c r="AC104" s="183"/>
      <c r="AD104" s="183"/>
      <c r="AE104" s="183"/>
      <c r="AF104" s="183"/>
      <c r="AG104" s="183"/>
      <c r="AH104" s="183"/>
    </row>
    <row r="105" spans="10:34">
      <c r="J105" s="137"/>
      <c r="K105" s="137"/>
      <c r="L105" s="137"/>
      <c r="M105" s="137"/>
      <c r="O105" s="31"/>
      <c r="P105" s="81" t="s">
        <v>110</v>
      </c>
      <c r="Q105" s="172" t="s">
        <v>100</v>
      </c>
      <c r="R105" s="59">
        <v>0.14099999999999999</v>
      </c>
      <c r="S105" s="37">
        <v>0.224</v>
      </c>
      <c r="T105" s="37">
        <v>0.20499999999999999</v>
      </c>
      <c r="U105" s="31">
        <f t="shared" si="13"/>
        <v>0.18999999999999997</v>
      </c>
      <c r="V105" s="166">
        <f t="shared" si="14"/>
        <v>4.3485629810317845E-2</v>
      </c>
      <c r="W105" s="176"/>
      <c r="X105" s="287"/>
      <c r="AB105" s="183"/>
      <c r="AC105" s="183"/>
      <c r="AD105" s="183"/>
      <c r="AE105" s="183"/>
      <c r="AF105" s="183"/>
      <c r="AG105" s="183"/>
      <c r="AH105" s="183"/>
    </row>
    <row r="106" spans="10:34">
      <c r="J106" s="137"/>
      <c r="K106" s="137"/>
      <c r="L106" s="137"/>
      <c r="M106" s="137"/>
      <c r="O106" s="31"/>
      <c r="P106" s="46" t="s">
        <v>105</v>
      </c>
      <c r="Q106" s="173" t="s">
        <v>101</v>
      </c>
      <c r="R106" s="55">
        <v>0.40200000000000002</v>
      </c>
      <c r="S106" s="56">
        <v>0.434</v>
      </c>
      <c r="T106" s="36">
        <v>0.42799999999999999</v>
      </c>
      <c r="U106" s="167">
        <f t="shared" si="13"/>
        <v>0.42133333333333334</v>
      </c>
      <c r="V106" s="170">
        <f t="shared" si="14"/>
        <v>1.7009801096230751E-2</v>
      </c>
      <c r="W106" s="176"/>
      <c r="X106" s="287"/>
      <c r="AB106" s="183"/>
      <c r="AC106" s="183"/>
      <c r="AD106" s="183"/>
      <c r="AE106" s="183"/>
      <c r="AF106" s="183"/>
      <c r="AG106" s="183"/>
      <c r="AH106" s="183"/>
    </row>
    <row r="107" spans="10:34">
      <c r="J107" s="137"/>
      <c r="K107" s="137"/>
      <c r="L107" s="137"/>
      <c r="M107" s="137"/>
      <c r="O107" s="31"/>
      <c r="P107" s="46" t="s">
        <v>106</v>
      </c>
      <c r="Q107" s="172" t="s">
        <v>101</v>
      </c>
      <c r="R107" s="55">
        <v>0.53700000000000003</v>
      </c>
      <c r="S107" s="55">
        <v>0.53500000000000003</v>
      </c>
      <c r="T107" s="31">
        <v>0.48299999999999998</v>
      </c>
      <c r="U107" s="168">
        <f t="shared" si="13"/>
        <v>0.51833333333333342</v>
      </c>
      <c r="V107" s="166">
        <f t="shared" si="14"/>
        <v>3.0615900008545145E-2</v>
      </c>
      <c r="W107" s="176"/>
      <c r="X107" s="287"/>
      <c r="AB107" s="183"/>
      <c r="AC107" s="183"/>
      <c r="AD107" s="183"/>
      <c r="AE107" s="183"/>
      <c r="AF107" s="183"/>
      <c r="AG107" s="183"/>
      <c r="AH107" s="183"/>
    </row>
    <row r="108" spans="10:34">
      <c r="J108" s="137"/>
      <c r="K108" s="138"/>
      <c r="L108" s="138"/>
      <c r="M108" s="138"/>
      <c r="O108" s="31"/>
      <c r="P108" s="46" t="s">
        <v>107</v>
      </c>
      <c r="Q108" s="172" t="s">
        <v>101</v>
      </c>
      <c r="R108" s="55">
        <v>0.45200000000000001</v>
      </c>
      <c r="S108" s="55">
        <v>0.59099999999999997</v>
      </c>
      <c r="T108" s="31">
        <v>0.47399999999999998</v>
      </c>
      <c r="U108" s="168">
        <f t="shared" si="13"/>
        <v>0.5056666666666666</v>
      </c>
      <c r="V108" s="166">
        <f t="shared" si="14"/>
        <v>7.4715014109169225E-2</v>
      </c>
      <c r="W108" s="176"/>
      <c r="X108" s="287"/>
      <c r="AB108" s="183"/>
      <c r="AC108" s="183"/>
      <c r="AD108" s="183"/>
      <c r="AE108" s="183"/>
      <c r="AF108" s="183"/>
      <c r="AG108" s="183"/>
      <c r="AH108" s="183"/>
    </row>
    <row r="109" spans="10:34">
      <c r="J109" s="137"/>
      <c r="K109" s="137"/>
      <c r="L109" s="137"/>
      <c r="M109" s="137"/>
      <c r="O109" s="31"/>
      <c r="P109" s="46" t="s">
        <v>108</v>
      </c>
      <c r="Q109" s="172" t="s">
        <v>101</v>
      </c>
      <c r="R109" s="55">
        <v>0.53100000000000003</v>
      </c>
      <c r="S109" s="55">
        <v>0.52900000000000003</v>
      </c>
      <c r="T109" s="31">
        <v>0.41899999999999998</v>
      </c>
      <c r="U109" s="168">
        <f t="shared" si="13"/>
        <v>0.49300000000000005</v>
      </c>
      <c r="V109" s="166">
        <f t="shared" si="14"/>
        <v>6.409368143584783E-2</v>
      </c>
      <c r="W109" s="176"/>
      <c r="X109" s="287"/>
      <c r="AB109" s="183"/>
      <c r="AC109" s="183"/>
      <c r="AD109" s="183"/>
      <c r="AE109" s="183"/>
      <c r="AF109" s="183"/>
      <c r="AG109" s="183"/>
      <c r="AH109" s="183"/>
    </row>
    <row r="110" spans="10:34">
      <c r="J110" s="137"/>
      <c r="K110" s="137"/>
      <c r="L110" s="137"/>
      <c r="M110" s="137"/>
      <c r="O110" s="31"/>
      <c r="P110" s="46" t="s">
        <v>109</v>
      </c>
      <c r="Q110" s="172" t="s">
        <v>101</v>
      </c>
      <c r="R110" s="55">
        <v>0.89800000000000002</v>
      </c>
      <c r="S110" s="55">
        <v>1.079</v>
      </c>
      <c r="T110" s="31">
        <v>1.044</v>
      </c>
      <c r="U110" s="168">
        <f t="shared" si="13"/>
        <v>1.0069999999999999</v>
      </c>
      <c r="V110" s="166">
        <f t="shared" si="14"/>
        <v>9.6005208192056074E-2</v>
      </c>
      <c r="W110" s="176"/>
      <c r="X110" s="287"/>
      <c r="AB110" s="183"/>
      <c r="AC110" s="183"/>
      <c r="AD110" s="183"/>
      <c r="AE110" s="183"/>
      <c r="AF110" s="183"/>
      <c r="AG110" s="183"/>
      <c r="AH110" s="183"/>
    </row>
    <row r="111" spans="10:34">
      <c r="J111" s="137"/>
      <c r="K111" s="137"/>
      <c r="L111" s="137"/>
      <c r="M111" s="137"/>
      <c r="O111" s="31"/>
      <c r="P111" s="46" t="s">
        <v>110</v>
      </c>
      <c r="Q111" s="172" t="s">
        <v>101</v>
      </c>
      <c r="R111" s="55">
        <v>0.29399999999999998</v>
      </c>
      <c r="S111" s="55">
        <v>0.32200000000000001</v>
      </c>
      <c r="T111" s="31">
        <v>0.44400000000000001</v>
      </c>
      <c r="U111" s="168">
        <f t="shared" si="13"/>
        <v>0.35333333333333333</v>
      </c>
      <c r="V111" s="166">
        <f t="shared" si="14"/>
        <v>7.9757967209134223E-2</v>
      </c>
      <c r="W111" s="176"/>
      <c r="X111" s="287"/>
      <c r="AB111" s="183"/>
      <c r="AC111" s="183"/>
      <c r="AD111" s="183"/>
      <c r="AE111" s="183"/>
      <c r="AF111" s="183"/>
      <c r="AG111" s="183"/>
      <c r="AH111" s="183"/>
    </row>
    <row r="112" spans="10:34">
      <c r="L112" s="263"/>
      <c r="M112" s="263"/>
      <c r="N112" s="245"/>
      <c r="O112" s="31"/>
      <c r="P112" s="171"/>
      <c r="Q112" s="171"/>
      <c r="R112" s="113"/>
      <c r="S112" s="113"/>
      <c r="T112" s="113"/>
      <c r="U112" s="31"/>
      <c r="V112" s="31"/>
      <c r="W112" s="246"/>
      <c r="X112" s="287"/>
      <c r="AB112" s="183"/>
      <c r="AC112" s="183"/>
      <c r="AD112" s="183"/>
      <c r="AE112" s="183"/>
      <c r="AF112" s="183"/>
      <c r="AG112" s="183"/>
      <c r="AH112" s="183"/>
    </row>
    <row r="113" spans="12:34">
      <c r="L113" s="263"/>
      <c r="M113" s="263"/>
      <c r="N113" s="245"/>
      <c r="O113" s="31"/>
      <c r="P113" s="171"/>
      <c r="Q113" s="171"/>
      <c r="R113" s="113"/>
      <c r="S113" s="113"/>
      <c r="T113" s="113"/>
      <c r="U113" s="31"/>
      <c r="V113" s="31"/>
      <c r="W113" s="246"/>
      <c r="X113" s="287"/>
      <c r="AB113" s="183"/>
      <c r="AC113" s="183"/>
      <c r="AD113" s="183"/>
      <c r="AE113" s="183"/>
      <c r="AF113" s="183"/>
      <c r="AG113" s="183"/>
      <c r="AH113" s="183"/>
    </row>
    <row r="114" spans="12:34">
      <c r="L114" s="263"/>
      <c r="M114" s="263"/>
      <c r="N114" s="245"/>
      <c r="O114" s="31"/>
      <c r="P114" s="171"/>
      <c r="Q114" s="171"/>
      <c r="R114" s="113"/>
      <c r="S114" s="113"/>
      <c r="T114" s="113"/>
      <c r="U114" s="31"/>
      <c r="V114" s="31"/>
      <c r="W114" s="246"/>
      <c r="X114" s="287"/>
      <c r="AB114" s="183"/>
      <c r="AC114" s="183"/>
      <c r="AD114" s="183"/>
      <c r="AE114" s="183"/>
      <c r="AF114" s="183"/>
      <c r="AG114" s="183"/>
      <c r="AH114" s="183"/>
    </row>
    <row r="115" spans="12:34">
      <c r="O115" s="252" t="s">
        <v>1</v>
      </c>
      <c r="P115" s="259" t="s">
        <v>55</v>
      </c>
      <c r="Q115" s="260" t="s">
        <v>99</v>
      </c>
      <c r="R115" s="255" t="s">
        <v>96</v>
      </c>
      <c r="S115" s="256" t="s">
        <v>97</v>
      </c>
      <c r="T115" s="255" t="s">
        <v>98</v>
      </c>
      <c r="U115" s="261" t="s">
        <v>127</v>
      </c>
      <c r="V115" s="262" t="s">
        <v>128</v>
      </c>
      <c r="W115" s="176"/>
      <c r="X115" s="287"/>
      <c r="AB115" s="183"/>
      <c r="AC115" s="183"/>
      <c r="AD115" s="183"/>
      <c r="AE115" s="183"/>
      <c r="AF115" s="183"/>
      <c r="AG115" s="183"/>
      <c r="AH115" s="183"/>
    </row>
    <row r="116" spans="12:34">
      <c r="O116" s="31"/>
      <c r="P116" s="146" t="s">
        <v>105</v>
      </c>
      <c r="Q116" s="172" t="s">
        <v>100</v>
      </c>
      <c r="R116" s="36">
        <v>56.494999999999997</v>
      </c>
      <c r="S116" s="31">
        <v>61.792000000000002</v>
      </c>
      <c r="T116" s="31">
        <v>54.591000000000001</v>
      </c>
      <c r="U116" s="113">
        <f t="shared" ref="U116:U127" si="16">AVERAGE(R116:T116)</f>
        <v>57.626000000000005</v>
      </c>
      <c r="V116" s="166">
        <f t="shared" ref="V116:V127" si="17">STDEV(R116:T116)</f>
        <v>3.7313497557853044</v>
      </c>
      <c r="W116" s="176"/>
      <c r="X116" s="287">
        <f t="shared" si="15"/>
        <v>206.43066666666667</v>
      </c>
      <c r="Y116" s="290" t="s">
        <v>53</v>
      </c>
      <c r="AB116" s="183"/>
      <c r="AC116" s="183"/>
      <c r="AD116" s="183"/>
      <c r="AE116" s="183"/>
      <c r="AF116" s="183"/>
      <c r="AG116" s="183"/>
      <c r="AH116" s="183"/>
    </row>
    <row r="117" spans="12:34">
      <c r="O117" s="31"/>
      <c r="P117" s="146" t="s">
        <v>106</v>
      </c>
      <c r="Q117" s="172" t="s">
        <v>100</v>
      </c>
      <c r="R117" s="31">
        <v>378.63499999999999</v>
      </c>
      <c r="S117" s="31">
        <v>401.09899999999999</v>
      </c>
      <c r="T117" s="31">
        <v>285.97199999999998</v>
      </c>
      <c r="U117" s="113">
        <f t="shared" si="16"/>
        <v>355.2353333333333</v>
      </c>
      <c r="V117" s="168">
        <f t="shared" si="17"/>
        <v>61.026345395520394</v>
      </c>
      <c r="W117" s="176"/>
      <c r="X117" s="287"/>
      <c r="Y117" s="291"/>
      <c r="AB117" s="183"/>
      <c r="AC117" s="183"/>
      <c r="AD117" s="183"/>
      <c r="AE117" s="183"/>
      <c r="AF117" s="183"/>
      <c r="AG117" s="183"/>
      <c r="AH117" s="183"/>
    </row>
    <row r="118" spans="12:34">
      <c r="O118" s="31"/>
      <c r="P118" s="146" t="s">
        <v>107</v>
      </c>
      <c r="Q118" s="172" t="s">
        <v>100</v>
      </c>
      <c r="R118" s="31">
        <v>49.881999999999998</v>
      </c>
      <c r="S118" s="31">
        <f>47.2*2</f>
        <v>94.4</v>
      </c>
      <c r="T118" s="108" t="s">
        <v>26</v>
      </c>
      <c r="U118" s="113">
        <f>AVERAGE(R118:S118)</f>
        <v>72.141000000000005</v>
      </c>
      <c r="V118" s="168">
        <f>STDEV(R118:S118)</f>
        <v>31.47897968486269</v>
      </c>
      <c r="W118" s="176"/>
      <c r="X118" s="287">
        <f t="shared" si="15"/>
        <v>73.592200000000005</v>
      </c>
      <c r="Y118" s="291" t="s">
        <v>54</v>
      </c>
      <c r="AB118" s="183"/>
      <c r="AC118" s="183"/>
      <c r="AD118" s="183"/>
      <c r="AE118" s="183"/>
      <c r="AF118" s="183"/>
      <c r="AG118" s="183"/>
      <c r="AH118" s="183"/>
    </row>
    <row r="119" spans="12:34">
      <c r="O119" s="31"/>
      <c r="P119" s="146" t="s">
        <v>108</v>
      </c>
      <c r="Q119" s="172" t="s">
        <v>100</v>
      </c>
      <c r="R119" s="31">
        <v>83.269000000000005</v>
      </c>
      <c r="S119" s="31">
        <v>78.141999999999996</v>
      </c>
      <c r="T119" s="31">
        <v>62.268000000000001</v>
      </c>
      <c r="U119" s="113">
        <f t="shared" si="16"/>
        <v>74.559666666666672</v>
      </c>
      <c r="V119" s="168">
        <f t="shared" si="17"/>
        <v>10.949216151548656</v>
      </c>
      <c r="W119" s="176"/>
      <c r="X119" s="287"/>
      <c r="Y119" s="291"/>
      <c r="AB119" s="183"/>
      <c r="AC119" s="183"/>
      <c r="AD119" s="183"/>
      <c r="AE119" s="183"/>
      <c r="AF119" s="183"/>
      <c r="AG119" s="183"/>
      <c r="AH119" s="183"/>
    </row>
    <row r="120" spans="12:34">
      <c r="O120" s="31"/>
      <c r="P120" s="146" t="s">
        <v>109</v>
      </c>
      <c r="Q120" s="172" t="s">
        <v>100</v>
      </c>
      <c r="R120" s="31">
        <v>43.881999999999998</v>
      </c>
      <c r="S120" s="31">
        <v>51.716000000000001</v>
      </c>
      <c r="T120" s="31">
        <v>46.11</v>
      </c>
      <c r="U120" s="113">
        <f t="shared" si="16"/>
        <v>47.235999999999997</v>
      </c>
      <c r="V120" s="168">
        <f t="shared" si="17"/>
        <v>4.0365574441594996</v>
      </c>
      <c r="W120" s="176"/>
      <c r="X120" s="287">
        <f t="shared" si="15"/>
        <v>49.326666666666661</v>
      </c>
      <c r="Y120" s="291" t="s">
        <v>52</v>
      </c>
      <c r="AB120" s="183"/>
      <c r="AC120" s="183"/>
      <c r="AD120" s="183"/>
      <c r="AE120" s="183"/>
      <c r="AF120" s="183"/>
      <c r="AG120" s="183"/>
      <c r="AH120" s="183"/>
    </row>
    <row r="121" spans="12:34">
      <c r="O121" s="31"/>
      <c r="P121" s="159" t="s">
        <v>110</v>
      </c>
      <c r="Q121" s="172" t="s">
        <v>100</v>
      </c>
      <c r="R121" s="37">
        <v>48.329000000000001</v>
      </c>
      <c r="S121" s="37">
        <v>51.17</v>
      </c>
      <c r="T121" s="37">
        <v>54.753</v>
      </c>
      <c r="U121" s="113">
        <f t="shared" si="16"/>
        <v>51.417333333333339</v>
      </c>
      <c r="V121" s="168">
        <f t="shared" si="17"/>
        <v>3.2191340968236801</v>
      </c>
      <c r="W121" s="176"/>
      <c r="X121" s="287"/>
      <c r="AB121" s="183"/>
      <c r="AC121" s="183"/>
      <c r="AD121" s="183"/>
      <c r="AE121" s="183"/>
      <c r="AF121" s="183"/>
      <c r="AG121" s="183"/>
      <c r="AH121" s="183"/>
    </row>
    <row r="122" spans="12:34">
      <c r="O122" s="31"/>
      <c r="P122" s="146" t="s">
        <v>105</v>
      </c>
      <c r="Q122" s="173" t="s">
        <v>101</v>
      </c>
      <c r="R122" s="31">
        <v>73.5</v>
      </c>
      <c r="S122" s="36">
        <v>107.675</v>
      </c>
      <c r="T122" s="36">
        <v>86.733000000000004</v>
      </c>
      <c r="U122" s="118">
        <f t="shared" si="16"/>
        <v>89.302666666666667</v>
      </c>
      <c r="V122" s="167">
        <f t="shared" si="17"/>
        <v>17.231803339561768</v>
      </c>
      <c r="W122" s="176"/>
      <c r="X122" s="287"/>
      <c r="AB122" s="183"/>
      <c r="AC122" s="183"/>
      <c r="AD122" s="183"/>
      <c r="AE122" s="183"/>
      <c r="AF122" s="183"/>
      <c r="AG122" s="183"/>
      <c r="AH122" s="183"/>
    </row>
    <row r="123" spans="12:34">
      <c r="O123" s="31"/>
      <c r="P123" s="146" t="s">
        <v>106</v>
      </c>
      <c r="Q123" s="172" t="s">
        <v>101</v>
      </c>
      <c r="R123" s="31">
        <v>703.45100000000002</v>
      </c>
      <c r="S123" s="31">
        <v>700.23</v>
      </c>
      <c r="T123" s="31">
        <v>642.13699999999994</v>
      </c>
      <c r="U123" s="108">
        <f t="shared" si="16"/>
        <v>681.93933333333337</v>
      </c>
      <c r="V123" s="168">
        <f t="shared" si="17"/>
        <v>34.50743418936451</v>
      </c>
      <c r="W123" s="176"/>
      <c r="X123" s="287"/>
      <c r="AB123" s="183"/>
      <c r="AC123" s="183"/>
      <c r="AD123" s="183"/>
      <c r="AE123" s="183"/>
      <c r="AF123" s="183"/>
      <c r="AG123" s="183"/>
      <c r="AH123" s="183"/>
    </row>
    <row r="124" spans="12:34">
      <c r="O124" s="31"/>
      <c r="P124" s="146" t="s">
        <v>107</v>
      </c>
      <c r="Q124" s="172" t="s">
        <v>101</v>
      </c>
      <c r="R124" s="31">
        <v>85.57</v>
      </c>
      <c r="S124" s="31">
        <v>100.182</v>
      </c>
      <c r="T124" s="31">
        <v>66.641999999999996</v>
      </c>
      <c r="U124" s="108">
        <f t="shared" si="16"/>
        <v>84.13133333333333</v>
      </c>
      <c r="V124" s="168">
        <f t="shared" si="17"/>
        <v>16.816218996353893</v>
      </c>
      <c r="W124" s="176"/>
      <c r="X124" s="287"/>
      <c r="AB124" s="183"/>
      <c r="AC124" s="183"/>
      <c r="AD124" s="183"/>
      <c r="AE124" s="183"/>
      <c r="AF124" s="183"/>
      <c r="AG124" s="183"/>
      <c r="AH124" s="183"/>
    </row>
    <row r="125" spans="12:34">
      <c r="O125" s="31"/>
      <c r="P125" s="146" t="s">
        <v>108</v>
      </c>
      <c r="Q125" s="172" t="s">
        <v>101</v>
      </c>
      <c r="R125" s="31">
        <v>262.92099999999999</v>
      </c>
      <c r="S125" s="31">
        <v>240.62200000000001</v>
      </c>
      <c r="T125" s="31">
        <v>147</v>
      </c>
      <c r="U125" s="108">
        <f t="shared" si="16"/>
        <v>216.84766666666667</v>
      </c>
      <c r="V125" s="168">
        <f t="shared" si="17"/>
        <v>61.508810379760497</v>
      </c>
      <c r="W125" s="176"/>
      <c r="X125" s="287"/>
      <c r="AB125" s="183"/>
      <c r="AC125" s="183"/>
      <c r="AD125" s="183"/>
      <c r="AE125" s="183"/>
      <c r="AF125" s="183"/>
      <c r="AG125" s="183"/>
      <c r="AH125" s="183"/>
    </row>
    <row r="126" spans="12:34">
      <c r="O126" s="31"/>
      <c r="P126" s="146" t="s">
        <v>109</v>
      </c>
      <c r="Q126" s="172" t="s">
        <v>101</v>
      </c>
      <c r="R126" s="31">
        <v>51.771000000000001</v>
      </c>
      <c r="S126" s="31">
        <v>62.152999999999999</v>
      </c>
      <c r="T126" s="31">
        <v>57.133000000000003</v>
      </c>
      <c r="U126" s="108">
        <f t="shared" si="16"/>
        <v>57.019000000000005</v>
      </c>
      <c r="V126" s="168">
        <f t="shared" si="17"/>
        <v>5.1919387515646891</v>
      </c>
      <c r="W126" s="176"/>
      <c r="X126" s="287"/>
      <c r="AB126" s="183"/>
      <c r="AC126" s="183"/>
      <c r="AD126" s="183"/>
      <c r="AE126" s="183"/>
      <c r="AF126" s="183"/>
      <c r="AG126" s="183"/>
      <c r="AH126" s="183"/>
    </row>
    <row r="127" spans="12:34">
      <c r="O127" s="31"/>
      <c r="P127" s="146" t="s">
        <v>110</v>
      </c>
      <c r="Q127" s="172" t="s">
        <v>101</v>
      </c>
      <c r="R127" s="31">
        <v>89.492000000000004</v>
      </c>
      <c r="S127" s="31">
        <v>64.271000000000001</v>
      </c>
      <c r="T127" s="31">
        <v>71.478999999999999</v>
      </c>
      <c r="U127" s="108">
        <f t="shared" si="16"/>
        <v>75.080666666666673</v>
      </c>
      <c r="V127" s="166">
        <f t="shared" si="17"/>
        <v>12.990523943757356</v>
      </c>
      <c r="W127" s="176"/>
      <c r="X127" s="287"/>
      <c r="AB127" s="183"/>
      <c r="AC127" s="183"/>
      <c r="AD127" s="183"/>
      <c r="AE127" s="183"/>
      <c r="AF127" s="183"/>
      <c r="AG127" s="183"/>
      <c r="AH127" s="183"/>
    </row>
    <row r="128" spans="12:34">
      <c r="O128" s="31"/>
      <c r="P128" s="171"/>
      <c r="Q128" s="171"/>
      <c r="R128" s="113"/>
      <c r="S128" s="113"/>
      <c r="T128" s="113"/>
      <c r="U128" s="113"/>
      <c r="V128" s="31"/>
      <c r="W128" s="246"/>
      <c r="X128" s="287"/>
      <c r="AB128" s="183"/>
      <c r="AC128" s="183"/>
      <c r="AD128" s="183"/>
      <c r="AE128" s="183"/>
      <c r="AF128" s="183"/>
      <c r="AG128" s="183"/>
      <c r="AH128" s="183"/>
    </row>
    <row r="129" spans="15:34">
      <c r="O129" s="31"/>
      <c r="P129" s="171"/>
      <c r="Q129" s="171"/>
      <c r="R129" s="113"/>
      <c r="S129" s="113"/>
      <c r="T129" s="113"/>
      <c r="U129" s="113"/>
      <c r="V129" s="31"/>
      <c r="W129" s="246"/>
      <c r="X129" s="287"/>
      <c r="AB129" s="183"/>
      <c r="AC129" s="183"/>
      <c r="AD129" s="183"/>
      <c r="AE129" s="183"/>
      <c r="AF129" s="183"/>
      <c r="AG129" s="183"/>
      <c r="AH129" s="183"/>
    </row>
    <row r="130" spans="15:34">
      <c r="O130" s="31"/>
      <c r="P130" s="171"/>
      <c r="Q130" s="171"/>
      <c r="R130" s="113"/>
      <c r="S130" s="113"/>
      <c r="T130" s="113"/>
      <c r="U130" s="113"/>
      <c r="V130" s="31"/>
      <c r="W130" s="246"/>
      <c r="X130" s="287"/>
      <c r="AB130" s="183"/>
      <c r="AC130" s="183"/>
      <c r="AD130" s="183"/>
      <c r="AE130" s="183"/>
      <c r="AF130" s="183"/>
      <c r="AG130" s="183"/>
      <c r="AH130" s="183"/>
    </row>
    <row r="131" spans="15:34">
      <c r="O131" s="252" t="s">
        <v>4</v>
      </c>
      <c r="P131" s="259" t="s">
        <v>55</v>
      </c>
      <c r="Q131" s="260" t="s">
        <v>99</v>
      </c>
      <c r="R131" s="255" t="s">
        <v>96</v>
      </c>
      <c r="S131" s="295" t="s">
        <v>97</v>
      </c>
      <c r="T131" s="296" t="s">
        <v>98</v>
      </c>
      <c r="U131" s="261" t="s">
        <v>127</v>
      </c>
      <c r="V131" s="262" t="s">
        <v>128</v>
      </c>
      <c r="W131" s="176"/>
      <c r="X131" s="287"/>
      <c r="AB131" s="183"/>
      <c r="AC131" s="183"/>
      <c r="AD131" s="183"/>
      <c r="AE131" s="183"/>
      <c r="AF131" s="183"/>
      <c r="AG131" s="183"/>
      <c r="AH131" s="183"/>
    </row>
    <row r="132" spans="15:34">
      <c r="O132" s="31"/>
      <c r="P132" s="46" t="s">
        <v>105</v>
      </c>
      <c r="Q132" s="162" t="s">
        <v>100</v>
      </c>
      <c r="R132" s="36">
        <v>0.38900000000000001</v>
      </c>
      <c r="S132" s="31">
        <v>0.32200000000000001</v>
      </c>
      <c r="T132" s="31">
        <v>0.33100000000000002</v>
      </c>
      <c r="U132" s="31">
        <f t="shared" ref="U132:U142" si="18">AVERAGE(R132:T132)</f>
        <v>0.34733333333333333</v>
      </c>
      <c r="V132" s="166">
        <f t="shared" ref="V132:V142" si="19">STDEV(R132:T132)</f>
        <v>3.6363901514184942E-2</v>
      </c>
      <c r="W132" s="176"/>
      <c r="X132" s="287">
        <f t="shared" si="15"/>
        <v>1.6736666666666664</v>
      </c>
      <c r="Y132" s="290" t="s">
        <v>53</v>
      </c>
      <c r="AB132" s="183"/>
      <c r="AC132" s="183"/>
      <c r="AD132" s="183"/>
      <c r="AE132" s="183"/>
      <c r="AF132" s="183"/>
      <c r="AG132" s="183"/>
      <c r="AH132" s="183"/>
    </row>
    <row r="133" spans="15:34">
      <c r="O133" s="31"/>
      <c r="P133" s="146" t="s">
        <v>106</v>
      </c>
      <c r="Q133" s="172" t="s">
        <v>100</v>
      </c>
      <c r="R133" s="31">
        <v>4.444</v>
      </c>
      <c r="S133" s="31">
        <v>2.766</v>
      </c>
      <c r="T133" s="31">
        <v>1.79</v>
      </c>
      <c r="U133" s="31">
        <f t="shared" si="18"/>
        <v>3</v>
      </c>
      <c r="V133" s="168">
        <f t="shared" si="19"/>
        <v>1.3423844456786591</v>
      </c>
      <c r="W133" s="292" t="s">
        <v>131</v>
      </c>
      <c r="X133" s="293"/>
      <c r="Y133" s="291"/>
      <c r="AB133" s="183"/>
      <c r="AC133" s="183"/>
      <c r="AD133" s="183"/>
      <c r="AE133" s="183"/>
      <c r="AF133" s="183"/>
      <c r="AG133" s="183"/>
      <c r="AH133" s="183"/>
    </row>
    <row r="134" spans="15:34">
      <c r="O134" s="31"/>
      <c r="P134" s="146" t="s">
        <v>107</v>
      </c>
      <c r="Q134" s="172" t="s">
        <v>100</v>
      </c>
      <c r="R134" s="31">
        <v>4.9889999999999999</v>
      </c>
      <c r="S134" s="31">
        <f>1.812*2</f>
        <v>3.6240000000000001</v>
      </c>
      <c r="T134" s="31">
        <v>4.25</v>
      </c>
      <c r="U134" s="31">
        <f t="shared" si="18"/>
        <v>4.2876666666666665</v>
      </c>
      <c r="V134" s="168">
        <f t="shared" si="19"/>
        <v>0.68327910353920251</v>
      </c>
      <c r="W134" s="292"/>
      <c r="X134" s="293">
        <f t="shared" si="15"/>
        <v>4.6460000000000008</v>
      </c>
      <c r="Y134" s="291" t="s">
        <v>54</v>
      </c>
      <c r="AB134" s="183"/>
      <c r="AC134" s="183"/>
      <c r="AD134" s="183"/>
      <c r="AE134" s="183"/>
      <c r="AF134" s="183"/>
      <c r="AG134" s="183"/>
      <c r="AH134" s="183"/>
    </row>
    <row r="135" spans="15:34">
      <c r="O135" s="31"/>
      <c r="P135" s="146" t="s">
        <v>108</v>
      </c>
      <c r="Q135" s="172" t="s">
        <v>100</v>
      </c>
      <c r="R135" s="108" t="s">
        <v>26</v>
      </c>
      <c r="S135" s="31">
        <v>5.3710000000000004</v>
      </c>
      <c r="T135" s="31">
        <v>4.9960000000000004</v>
      </c>
      <c r="U135" s="31">
        <f>AVERAGE(S135:T135)</f>
        <v>5.1835000000000004</v>
      </c>
      <c r="V135" s="168">
        <f>STDEV(S135:T135)</f>
        <v>0.2651650429449553</v>
      </c>
      <c r="W135" s="292" t="s">
        <v>134</v>
      </c>
      <c r="X135" s="293"/>
      <c r="Y135" s="291"/>
      <c r="AB135" s="183"/>
      <c r="AC135" s="183"/>
      <c r="AD135" s="183"/>
      <c r="AE135" s="183"/>
      <c r="AF135" s="183"/>
      <c r="AG135" s="183"/>
      <c r="AH135" s="183"/>
    </row>
    <row r="136" spans="15:34">
      <c r="O136" s="31"/>
      <c r="P136" s="146" t="s">
        <v>109</v>
      </c>
      <c r="Q136" s="172" t="s">
        <v>100</v>
      </c>
      <c r="R136" s="31">
        <v>4.9320000000000004</v>
      </c>
      <c r="S136" s="31">
        <v>2.6179999999999999</v>
      </c>
      <c r="T136" s="31">
        <v>3.4609999999999999</v>
      </c>
      <c r="U136" s="31">
        <f t="shared" si="18"/>
        <v>3.6703333333333337</v>
      </c>
      <c r="V136" s="168">
        <f t="shared" si="19"/>
        <v>1.1711167035497916</v>
      </c>
      <c r="W136" s="292"/>
      <c r="X136" s="293">
        <f t="shared" si="15"/>
        <v>3.9066666666666676</v>
      </c>
      <c r="Y136" s="291" t="s">
        <v>52</v>
      </c>
      <c r="AB136" s="183"/>
      <c r="AC136" s="183"/>
      <c r="AD136" s="183"/>
      <c r="AE136" s="183"/>
      <c r="AF136" s="183"/>
      <c r="AG136" s="183"/>
      <c r="AH136" s="183"/>
    </row>
    <row r="137" spans="15:34">
      <c r="O137" s="31"/>
      <c r="P137" s="159" t="s">
        <v>110</v>
      </c>
      <c r="Q137" s="172" t="s">
        <v>100</v>
      </c>
      <c r="R137" s="37">
        <v>3.1629999999999998</v>
      </c>
      <c r="S137" s="37">
        <v>5.282</v>
      </c>
      <c r="T137" s="37">
        <v>3.984</v>
      </c>
      <c r="U137" s="31">
        <f t="shared" si="18"/>
        <v>4.1429999999999998</v>
      </c>
      <c r="V137" s="168">
        <f t="shared" si="19"/>
        <v>1.0684105016331495</v>
      </c>
      <c r="W137" s="292" t="s">
        <v>135</v>
      </c>
      <c r="X137" s="293"/>
      <c r="AB137" s="183"/>
      <c r="AC137" s="183"/>
      <c r="AD137" s="183"/>
      <c r="AE137" s="183"/>
      <c r="AF137" s="183"/>
      <c r="AG137" s="183"/>
      <c r="AH137" s="183"/>
    </row>
    <row r="138" spans="15:34">
      <c r="O138" s="31"/>
      <c r="P138" s="266" t="s">
        <v>105</v>
      </c>
      <c r="Q138" s="173" t="s">
        <v>101</v>
      </c>
      <c r="R138" s="36">
        <v>0.14799999999999999</v>
      </c>
      <c r="S138" s="36">
        <v>0.127</v>
      </c>
      <c r="T138" s="36">
        <v>0.155</v>
      </c>
      <c r="U138" s="167">
        <f t="shared" si="18"/>
        <v>0.14333333333333334</v>
      </c>
      <c r="V138" s="167">
        <f t="shared" si="19"/>
        <v>1.4571661996262756E-2</v>
      </c>
      <c r="W138" s="292"/>
      <c r="X138" s="293"/>
      <c r="AB138" s="183"/>
      <c r="AC138" s="183"/>
      <c r="AD138" s="183"/>
      <c r="AE138" s="183"/>
      <c r="AF138" s="183"/>
      <c r="AG138" s="183"/>
      <c r="AH138" s="183"/>
    </row>
    <row r="139" spans="15:34">
      <c r="O139" s="31"/>
      <c r="P139" s="146" t="s">
        <v>106</v>
      </c>
      <c r="Q139" s="172" t="s">
        <v>101</v>
      </c>
      <c r="R139" s="31">
        <v>4.9489999999999998</v>
      </c>
      <c r="S139" s="31">
        <v>6.8179999999999996</v>
      </c>
      <c r="T139" s="31">
        <v>6.2439999999999998</v>
      </c>
      <c r="U139" s="168">
        <f t="shared" si="18"/>
        <v>6.0036666666666667</v>
      </c>
      <c r="V139" s="168">
        <f t="shared" si="19"/>
        <v>0.95739768818048177</v>
      </c>
      <c r="W139" s="292" t="s">
        <v>131</v>
      </c>
      <c r="X139" s="293"/>
      <c r="AB139" s="183"/>
      <c r="AC139" s="183"/>
      <c r="AD139" s="183"/>
      <c r="AE139" s="183"/>
      <c r="AF139" s="183"/>
      <c r="AG139" s="183"/>
      <c r="AH139" s="183"/>
    </row>
    <row r="140" spans="15:34">
      <c r="O140" s="31"/>
      <c r="P140" s="146" t="s">
        <v>107</v>
      </c>
      <c r="Q140" s="172" t="s">
        <v>101</v>
      </c>
      <c r="R140" s="31">
        <v>3.7789999999999999</v>
      </c>
      <c r="S140" s="31">
        <v>2.8530000000000002</v>
      </c>
      <c r="T140" s="31">
        <v>2.0329999999999999</v>
      </c>
      <c r="U140" s="168">
        <f t="shared" si="18"/>
        <v>2.8883333333333332</v>
      </c>
      <c r="V140" s="168">
        <f t="shared" si="19"/>
        <v>0.87353610877475296</v>
      </c>
      <c r="W140" s="292"/>
      <c r="X140" s="293"/>
      <c r="AB140" s="183"/>
      <c r="AC140" s="183"/>
      <c r="AD140" s="183"/>
      <c r="AE140" s="183"/>
      <c r="AF140" s="183"/>
      <c r="AG140" s="183"/>
      <c r="AH140" s="183"/>
    </row>
    <row r="141" spans="15:34">
      <c r="O141" s="31"/>
      <c r="P141" s="146" t="s">
        <v>108</v>
      </c>
      <c r="Q141" s="172" t="s">
        <v>101</v>
      </c>
      <c r="R141" s="31">
        <v>7.0380000000000003</v>
      </c>
      <c r="S141" s="31">
        <v>5.7130000000000001</v>
      </c>
      <c r="T141" s="31">
        <v>3.3149999999999999</v>
      </c>
      <c r="U141" s="168">
        <f t="shared" si="18"/>
        <v>5.3553333333333342</v>
      </c>
      <c r="V141" s="168">
        <f t="shared" si="19"/>
        <v>1.8870946805429065</v>
      </c>
      <c r="W141" s="292" t="s">
        <v>134</v>
      </c>
      <c r="X141" s="293"/>
      <c r="AB141" s="183"/>
      <c r="AC141" s="183"/>
      <c r="AD141" s="183"/>
      <c r="AE141" s="183"/>
      <c r="AF141" s="183"/>
      <c r="AG141" s="183"/>
      <c r="AH141" s="183"/>
    </row>
    <row r="142" spans="15:34">
      <c r="O142" s="31"/>
      <c r="P142" s="146" t="s">
        <v>109</v>
      </c>
      <c r="Q142" s="172" t="s">
        <v>101</v>
      </c>
      <c r="R142" s="31">
        <v>1.5489999999999999</v>
      </c>
      <c r="S142" s="31">
        <v>1.419</v>
      </c>
      <c r="T142" s="31">
        <v>1.93</v>
      </c>
      <c r="U142" s="168">
        <f t="shared" si="18"/>
        <v>1.6326666666666665</v>
      </c>
      <c r="V142" s="168">
        <f t="shared" si="19"/>
        <v>0.26557547577540663</v>
      </c>
      <c r="W142" s="292"/>
      <c r="X142" s="293"/>
      <c r="AB142" s="183"/>
      <c r="AC142" s="183"/>
      <c r="AD142" s="183"/>
      <c r="AE142" s="183"/>
      <c r="AF142" s="183"/>
      <c r="AG142" s="183"/>
      <c r="AH142" s="183"/>
    </row>
    <row r="143" spans="15:34">
      <c r="O143" s="31"/>
      <c r="P143" s="159" t="s">
        <v>110</v>
      </c>
      <c r="Q143" s="267" t="s">
        <v>101</v>
      </c>
      <c r="R143" s="37">
        <v>1.5289999999999999</v>
      </c>
      <c r="S143" s="37">
        <v>4.6369999999999996</v>
      </c>
      <c r="T143" s="165" t="s">
        <v>26</v>
      </c>
      <c r="U143" s="268">
        <f>AVERAGE(R143:S143)</f>
        <v>3.0829999999999997</v>
      </c>
      <c r="V143" s="268">
        <f>STDEV(R143:S143)</f>
        <v>2.1976878759277896</v>
      </c>
      <c r="W143" s="292" t="s">
        <v>135</v>
      </c>
      <c r="X143" s="293"/>
      <c r="AB143" s="183"/>
      <c r="AC143" s="183"/>
      <c r="AD143" s="183"/>
      <c r="AE143" s="183"/>
      <c r="AF143" s="183"/>
      <c r="AG143" s="183"/>
      <c r="AH143" s="183"/>
    </row>
    <row r="144" spans="15:34">
      <c r="O144" s="31"/>
      <c r="P144" s="258"/>
      <c r="Q144" s="258"/>
      <c r="R144" s="113"/>
      <c r="S144" s="113"/>
      <c r="T144" s="113"/>
      <c r="U144" s="113"/>
      <c r="V144" s="31"/>
      <c r="W144" s="292"/>
      <c r="X144" s="293"/>
      <c r="AB144" s="183"/>
      <c r="AC144" s="183"/>
      <c r="AD144" s="183"/>
      <c r="AE144" s="183"/>
      <c r="AF144" s="183"/>
      <c r="AG144" s="183"/>
      <c r="AH144" s="183"/>
    </row>
    <row r="145" spans="15:34">
      <c r="O145" s="31"/>
      <c r="P145" s="171"/>
      <c r="Q145" s="171"/>
      <c r="R145" s="113"/>
      <c r="S145" s="113"/>
      <c r="T145" s="113"/>
      <c r="U145" s="113"/>
      <c r="V145" s="31"/>
      <c r="W145" s="294"/>
      <c r="X145" s="293"/>
      <c r="AB145" s="183"/>
      <c r="AC145" s="183"/>
      <c r="AD145" s="183"/>
      <c r="AE145" s="183"/>
      <c r="AF145" s="183"/>
      <c r="AG145" s="183"/>
      <c r="AH145" s="183"/>
    </row>
    <row r="146" spans="15:34">
      <c r="O146" s="31"/>
      <c r="P146" s="171"/>
      <c r="Q146" s="171"/>
      <c r="R146" s="113"/>
      <c r="S146" s="113"/>
      <c r="T146" s="113"/>
      <c r="U146" s="113"/>
      <c r="V146" s="31"/>
      <c r="W146" s="294"/>
      <c r="X146" s="293"/>
      <c r="AB146" s="183"/>
      <c r="AC146" s="183"/>
      <c r="AD146" s="183"/>
      <c r="AE146" s="183"/>
      <c r="AF146" s="183"/>
      <c r="AG146" s="183"/>
      <c r="AH146" s="183"/>
    </row>
    <row r="147" spans="15:34">
      <c r="O147" s="252" t="s">
        <v>12</v>
      </c>
      <c r="P147" s="253" t="s">
        <v>55</v>
      </c>
      <c r="Q147" s="254" t="s">
        <v>99</v>
      </c>
      <c r="R147" s="255" t="s">
        <v>96</v>
      </c>
      <c r="S147" s="256" t="s">
        <v>97</v>
      </c>
      <c r="T147" s="255" t="s">
        <v>98</v>
      </c>
      <c r="U147" s="256" t="s">
        <v>127</v>
      </c>
      <c r="V147" s="257" t="s">
        <v>128</v>
      </c>
      <c r="W147" s="294"/>
      <c r="X147" s="293"/>
      <c r="AB147" s="183"/>
      <c r="AC147" s="183"/>
      <c r="AD147" s="183"/>
      <c r="AE147" s="183"/>
      <c r="AF147" s="183"/>
      <c r="AG147" s="183"/>
      <c r="AH147" s="183"/>
    </row>
    <row r="148" spans="15:34">
      <c r="O148" s="31"/>
      <c r="P148" s="84" t="s">
        <v>105</v>
      </c>
      <c r="Q148" s="163" t="s">
        <v>100</v>
      </c>
      <c r="R148" s="115">
        <v>7.2450000000000001</v>
      </c>
      <c r="S148" s="112">
        <v>2.891</v>
      </c>
      <c r="T148" s="112">
        <v>3.4580000000000002</v>
      </c>
      <c r="U148" s="112">
        <f t="shared" ref="U148:U159" si="20">AVERAGE(R148:T148)</f>
        <v>4.5313333333333334</v>
      </c>
      <c r="V148" s="170">
        <f t="shared" ref="V148:V159" si="21">STDEV(R148:T148)</f>
        <v>2.3671422292150806</v>
      </c>
      <c r="W148" s="294"/>
      <c r="X148" s="293">
        <f t="shared" si="15"/>
        <v>12.0845</v>
      </c>
      <c r="Y148" s="290" t="s">
        <v>53</v>
      </c>
      <c r="AB148" s="183"/>
      <c r="AC148" s="183"/>
      <c r="AD148" s="183"/>
      <c r="AE148" s="183"/>
      <c r="AF148" s="183"/>
      <c r="AG148" s="183"/>
      <c r="AH148" s="183"/>
    </row>
    <row r="149" spans="15:34">
      <c r="O149" s="31"/>
      <c r="P149" s="146" t="s">
        <v>106</v>
      </c>
      <c r="Q149" s="162" t="s">
        <v>100</v>
      </c>
      <c r="R149" s="116">
        <v>40.04</v>
      </c>
      <c r="S149" s="113">
        <v>10.455</v>
      </c>
      <c r="T149" s="113">
        <v>8.4179999999999993</v>
      </c>
      <c r="U149" s="113">
        <f t="shared" si="20"/>
        <v>19.637666666666664</v>
      </c>
      <c r="V149" s="166">
        <f t="shared" si="21"/>
        <v>17.698269585847463</v>
      </c>
      <c r="W149" s="294" t="s">
        <v>131</v>
      </c>
      <c r="X149" s="293"/>
      <c r="Y149" s="291"/>
      <c r="AB149" s="183"/>
      <c r="AC149" s="183"/>
      <c r="AD149" s="183"/>
      <c r="AE149" s="183"/>
      <c r="AF149" s="183"/>
      <c r="AG149" s="183"/>
      <c r="AH149" s="183"/>
    </row>
    <row r="150" spans="15:34">
      <c r="O150" s="31"/>
      <c r="P150" s="146" t="s">
        <v>107</v>
      </c>
      <c r="Q150" s="162" t="s">
        <v>100</v>
      </c>
      <c r="R150" s="116">
        <v>1694.4349999999999</v>
      </c>
      <c r="S150" s="113">
        <f>1424.888*2</f>
        <v>2849.7759999999998</v>
      </c>
      <c r="T150" s="108" t="s">
        <v>26</v>
      </c>
      <c r="U150" s="113">
        <f>AVERAGE(R150:S150)</f>
        <v>2272.1054999999997</v>
      </c>
      <c r="V150" s="166">
        <f>STDEV(R150:S150)</f>
        <v>816.94945568284811</v>
      </c>
      <c r="W150" s="294" t="s">
        <v>132</v>
      </c>
      <c r="X150" s="293">
        <f t="shared" si="15"/>
        <v>1263.6127499999998</v>
      </c>
      <c r="Y150" s="291" t="s">
        <v>54</v>
      </c>
      <c r="AB150" s="183"/>
      <c r="AC150" s="183"/>
      <c r="AD150" s="183"/>
      <c r="AE150" s="183"/>
      <c r="AF150" s="183"/>
      <c r="AG150" s="183"/>
      <c r="AH150" s="183"/>
    </row>
    <row r="151" spans="15:34">
      <c r="O151" s="31"/>
      <c r="P151" s="146" t="s">
        <v>108</v>
      </c>
      <c r="Q151" s="162" t="s">
        <v>100</v>
      </c>
      <c r="R151" s="108" t="s">
        <v>26</v>
      </c>
      <c r="S151" s="113">
        <v>237.245</v>
      </c>
      <c r="T151" s="113">
        <v>272.995</v>
      </c>
      <c r="U151" s="113">
        <f>AVERAGE(S151:T151)</f>
        <v>255.12</v>
      </c>
      <c r="V151" s="166">
        <f>STDEV(S151:T151)</f>
        <v>25.279067427419076</v>
      </c>
      <c r="W151" s="294"/>
      <c r="X151" s="293"/>
      <c r="Y151" s="291"/>
      <c r="AB151" s="183"/>
      <c r="AC151" s="183"/>
      <c r="AD151" s="183"/>
      <c r="AE151" s="183"/>
      <c r="AF151" s="183"/>
      <c r="AG151" s="183"/>
      <c r="AH151" s="183"/>
    </row>
    <row r="152" spans="15:34">
      <c r="O152" s="31"/>
      <c r="P152" s="146" t="s">
        <v>109</v>
      </c>
      <c r="Q152" s="162" t="s">
        <v>100</v>
      </c>
      <c r="R152" s="116">
        <v>844.72799999999995</v>
      </c>
      <c r="S152" s="113">
        <v>729.79399999999998</v>
      </c>
      <c r="T152" s="113">
        <v>825.58100000000002</v>
      </c>
      <c r="U152" s="113">
        <f t="shared" si="20"/>
        <v>800.03433333333339</v>
      </c>
      <c r="V152" s="166">
        <f t="shared" si="21"/>
        <v>61.578650702441443</v>
      </c>
      <c r="W152" s="294" t="s">
        <v>133</v>
      </c>
      <c r="X152" s="293">
        <f t="shared" si="15"/>
        <v>458.9591666666667</v>
      </c>
      <c r="Y152" s="291" t="s">
        <v>52</v>
      </c>
      <c r="AB152" s="183"/>
      <c r="AC152" s="183"/>
      <c r="AD152" s="183"/>
      <c r="AE152" s="183"/>
      <c r="AF152" s="183"/>
      <c r="AG152" s="183"/>
      <c r="AH152" s="183"/>
    </row>
    <row r="153" spans="15:34">
      <c r="O153" s="31"/>
      <c r="P153" s="159" t="s">
        <v>110</v>
      </c>
      <c r="Q153" s="162" t="s">
        <v>100</v>
      </c>
      <c r="R153" s="117">
        <v>95.662999999999997</v>
      </c>
      <c r="S153" s="114">
        <v>131.97</v>
      </c>
      <c r="T153" s="114">
        <v>126.01900000000001</v>
      </c>
      <c r="U153" s="113">
        <f t="shared" si="20"/>
        <v>117.884</v>
      </c>
      <c r="V153" s="168">
        <f t="shared" si="21"/>
        <v>19.472627737416506</v>
      </c>
      <c r="W153" s="292"/>
      <c r="X153" s="293"/>
      <c r="AB153" s="183"/>
      <c r="AC153" s="183"/>
      <c r="AD153" s="183"/>
      <c r="AE153" s="183"/>
      <c r="AF153" s="183"/>
      <c r="AG153" s="183"/>
      <c r="AH153" s="183"/>
    </row>
    <row r="154" spans="15:34">
      <c r="O154" s="31"/>
      <c r="P154" s="146" t="s">
        <v>105</v>
      </c>
      <c r="Q154" s="163" t="s">
        <v>101</v>
      </c>
      <c r="R154" s="116">
        <v>4.4610000000000003</v>
      </c>
      <c r="S154" s="112">
        <v>2.0840000000000001</v>
      </c>
      <c r="T154" s="112">
        <v>5.0350000000000001</v>
      </c>
      <c r="U154" s="118">
        <f t="shared" si="20"/>
        <v>3.86</v>
      </c>
      <c r="V154" s="167">
        <f t="shared" si="21"/>
        <v>1.5646088968173488</v>
      </c>
      <c r="W154" s="292"/>
      <c r="X154" s="293"/>
      <c r="AB154" s="183"/>
      <c r="AC154" s="183"/>
      <c r="AD154" s="183"/>
      <c r="AE154" s="183"/>
      <c r="AF154" s="183"/>
      <c r="AG154" s="183"/>
      <c r="AH154" s="183"/>
    </row>
    <row r="155" spans="15:34">
      <c r="O155" s="31"/>
      <c r="P155" s="146" t="s">
        <v>106</v>
      </c>
      <c r="Q155" s="162" t="s">
        <v>101</v>
      </c>
      <c r="R155" s="116">
        <v>31.434999999999999</v>
      </c>
      <c r="S155" s="113">
        <v>35.384999999999998</v>
      </c>
      <c r="T155" s="113">
        <v>47.64</v>
      </c>
      <c r="U155" s="108">
        <f t="shared" si="20"/>
        <v>38.153333333333329</v>
      </c>
      <c r="V155" s="168">
        <f t="shared" si="21"/>
        <v>8.4497490100791524</v>
      </c>
      <c r="W155" s="292" t="s">
        <v>131</v>
      </c>
      <c r="X155" s="293"/>
      <c r="AB155" s="183"/>
      <c r="AC155" s="183"/>
      <c r="AD155" s="183"/>
      <c r="AE155" s="183"/>
      <c r="AF155" s="183"/>
      <c r="AG155" s="183"/>
      <c r="AH155" s="183"/>
    </row>
    <row r="156" spans="15:34">
      <c r="O156" s="31"/>
      <c r="P156" s="146" t="s">
        <v>107</v>
      </c>
      <c r="Q156" s="162" t="s">
        <v>101</v>
      </c>
      <c r="R156" s="116">
        <v>930.95500000000004</v>
      </c>
      <c r="S156" s="113">
        <v>678.14700000000005</v>
      </c>
      <c r="T156" s="113">
        <v>1080.0319999999999</v>
      </c>
      <c r="U156" s="108">
        <f t="shared" si="20"/>
        <v>896.37800000000004</v>
      </c>
      <c r="V156" s="168">
        <f t="shared" si="21"/>
        <v>203.16142597205734</v>
      </c>
      <c r="W156" s="292" t="s">
        <v>132</v>
      </c>
      <c r="X156" s="293"/>
      <c r="AB156" s="183"/>
      <c r="AC156" s="183"/>
      <c r="AD156" s="183"/>
      <c r="AE156" s="183"/>
      <c r="AF156" s="183"/>
      <c r="AG156" s="183"/>
      <c r="AH156" s="183"/>
    </row>
    <row r="157" spans="15:34">
      <c r="O157" s="31"/>
      <c r="P157" s="146" t="s">
        <v>108</v>
      </c>
      <c r="Q157" s="162" t="s">
        <v>101</v>
      </c>
      <c r="R157" s="116">
        <v>123.434</v>
      </c>
      <c r="S157" s="113">
        <v>102.041</v>
      </c>
      <c r="T157" s="113">
        <v>58.569000000000003</v>
      </c>
      <c r="U157" s="108">
        <f t="shared" si="20"/>
        <v>94.681333333333328</v>
      </c>
      <c r="V157" s="168">
        <f t="shared" si="21"/>
        <v>33.052845207838544</v>
      </c>
      <c r="W157" s="292"/>
      <c r="X157" s="293"/>
      <c r="AB157" s="183"/>
      <c r="AC157" s="183"/>
      <c r="AD157" s="183"/>
      <c r="AE157" s="183"/>
      <c r="AF157" s="183"/>
      <c r="AG157" s="183"/>
      <c r="AH157" s="183"/>
    </row>
    <row r="158" spans="15:34">
      <c r="O158" s="31"/>
      <c r="P158" s="146" t="s">
        <v>109</v>
      </c>
      <c r="Q158" s="162" t="s">
        <v>101</v>
      </c>
      <c r="R158" s="116">
        <v>579.99900000000002</v>
      </c>
      <c r="S158" s="113">
        <v>447.10700000000003</v>
      </c>
      <c r="T158" s="113">
        <v>586.18100000000004</v>
      </c>
      <c r="U158" s="108">
        <f t="shared" si="20"/>
        <v>537.76233333333334</v>
      </c>
      <c r="V158" s="168">
        <f t="shared" si="21"/>
        <v>78.57064577393642</v>
      </c>
      <c r="W158" s="292" t="s">
        <v>133</v>
      </c>
      <c r="X158" s="293"/>
      <c r="AB158" s="183"/>
      <c r="AC158" s="183"/>
      <c r="AD158" s="183"/>
      <c r="AE158" s="183"/>
      <c r="AF158" s="183"/>
      <c r="AG158" s="183"/>
      <c r="AH158" s="183"/>
    </row>
    <row r="159" spans="15:34">
      <c r="O159" s="31"/>
      <c r="P159" s="81" t="s">
        <v>110</v>
      </c>
      <c r="Q159" s="164" t="s">
        <v>101</v>
      </c>
      <c r="R159" s="117">
        <v>14.569000000000001</v>
      </c>
      <c r="S159" s="114">
        <v>36.475000000000001</v>
      </c>
      <c r="T159" s="114">
        <v>81.412000000000006</v>
      </c>
      <c r="U159" s="165">
        <f t="shared" si="20"/>
        <v>44.152000000000008</v>
      </c>
      <c r="V159" s="169">
        <f t="shared" si="21"/>
        <v>34.076368776617031</v>
      </c>
      <c r="W159" s="294"/>
      <c r="X159" s="293"/>
      <c r="AB159" s="183"/>
      <c r="AC159" s="183"/>
      <c r="AD159" s="183"/>
      <c r="AE159" s="183"/>
      <c r="AF159" s="183"/>
      <c r="AG159" s="183"/>
      <c r="AH159" s="183"/>
    </row>
    <row r="160" spans="15:34">
      <c r="O160" s="31"/>
      <c r="P160" s="171"/>
      <c r="Q160" s="171"/>
      <c r="R160" s="113"/>
      <c r="S160" s="113"/>
      <c r="T160" s="113"/>
      <c r="U160" s="113"/>
      <c r="V160" s="31"/>
      <c r="W160" s="246"/>
      <c r="AB160" s="183"/>
      <c r="AC160" s="183"/>
      <c r="AD160" s="183"/>
      <c r="AE160" s="183"/>
      <c r="AF160" s="183"/>
      <c r="AG160" s="183"/>
      <c r="AH160" s="183"/>
    </row>
    <row r="161" spans="14:34">
      <c r="N161" s="245"/>
      <c r="O161" s="31"/>
      <c r="P161" s="171"/>
      <c r="Q161" s="171"/>
      <c r="R161" s="113"/>
      <c r="S161" s="113"/>
      <c r="T161" s="113"/>
      <c r="U161" s="113"/>
      <c r="V161" s="31"/>
      <c r="W161" s="246"/>
      <c r="AB161" s="183"/>
      <c r="AC161" s="183"/>
      <c r="AD161" s="183"/>
      <c r="AE161" s="183"/>
      <c r="AF161" s="183"/>
      <c r="AG161" s="183"/>
      <c r="AH161" s="183"/>
    </row>
    <row r="162" spans="14:34">
      <c r="N162" s="245"/>
      <c r="O162" s="31"/>
      <c r="P162" s="171"/>
      <c r="Q162" s="171"/>
      <c r="R162" s="113"/>
      <c r="S162" s="113"/>
      <c r="T162" s="113"/>
      <c r="U162" s="113"/>
      <c r="V162" s="31"/>
      <c r="W162" s="246"/>
      <c r="AB162" s="183"/>
      <c r="AC162" s="183"/>
      <c r="AD162" s="183"/>
      <c r="AE162" s="183"/>
      <c r="AF162" s="183"/>
      <c r="AG162" s="183"/>
      <c r="AH162" s="183"/>
    </row>
    <row r="163" spans="14:34">
      <c r="N163" s="245"/>
      <c r="O163" s="247"/>
      <c r="P163" s="248"/>
      <c r="R163" s="251"/>
      <c r="T163" s="135"/>
      <c r="U163" s="135"/>
      <c r="V163" s="19"/>
      <c r="W163" s="246"/>
      <c r="AB163" s="183"/>
      <c r="AC163" s="183"/>
      <c r="AD163" s="183"/>
      <c r="AE163" s="183"/>
      <c r="AF163" s="183"/>
      <c r="AG163" s="183"/>
      <c r="AH163" s="183"/>
    </row>
    <row r="164" spans="14:34">
      <c r="O164" s="3"/>
      <c r="P164" s="249"/>
      <c r="Q164" s="250"/>
      <c r="S164" s="251"/>
      <c r="T164" s="251"/>
      <c r="U164" s="251"/>
      <c r="V164" s="20"/>
      <c r="W164" s="246"/>
      <c r="AB164" s="183"/>
      <c r="AC164" s="183"/>
      <c r="AD164" s="183"/>
      <c r="AE164" s="183"/>
      <c r="AF164" s="183"/>
      <c r="AG164" s="183"/>
      <c r="AH164" s="183"/>
    </row>
    <row r="165" spans="14:34">
      <c r="W165" s="176"/>
      <c r="AB165" s="183"/>
      <c r="AC165" s="183"/>
      <c r="AD165" s="183"/>
      <c r="AE165" s="183"/>
      <c r="AF165" s="183"/>
      <c r="AG165" s="183"/>
      <c r="AH165" s="183"/>
    </row>
    <row r="166" spans="14:34">
      <c r="W166" s="176"/>
      <c r="AB166" s="183"/>
      <c r="AC166" s="183"/>
      <c r="AD166" s="183"/>
      <c r="AE166" s="183"/>
      <c r="AF166" s="183"/>
      <c r="AG166" s="183"/>
      <c r="AH166" s="183"/>
    </row>
    <row r="167" spans="14:34">
      <c r="W167" s="176"/>
      <c r="AB167" s="183"/>
      <c r="AC167" s="183"/>
      <c r="AD167" s="183"/>
      <c r="AE167" s="183"/>
      <c r="AF167" s="183"/>
      <c r="AG167" s="183"/>
      <c r="AH167" s="183"/>
    </row>
    <row r="168" spans="14:34">
      <c r="W168" s="176"/>
      <c r="AB168" s="183"/>
      <c r="AC168" s="183"/>
      <c r="AD168" s="183"/>
      <c r="AE168" s="183"/>
      <c r="AF168" s="183"/>
      <c r="AG168" s="183"/>
      <c r="AH168" s="183"/>
    </row>
    <row r="169" spans="14:34">
      <c r="W169" s="176"/>
      <c r="AB169" s="183"/>
      <c r="AC169" s="183"/>
      <c r="AD169" s="183"/>
      <c r="AE169" s="183"/>
      <c r="AF169" s="183"/>
      <c r="AG169" s="183"/>
      <c r="AH169" s="183"/>
    </row>
    <row r="170" spans="14:34">
      <c r="W170" s="176"/>
      <c r="AB170" s="183"/>
      <c r="AC170" s="183"/>
      <c r="AD170" s="183"/>
      <c r="AE170" s="183"/>
      <c r="AF170" s="183"/>
      <c r="AG170" s="183"/>
      <c r="AH170" s="183"/>
    </row>
    <row r="171" spans="14:34">
      <c r="W171" s="176"/>
      <c r="AB171" s="183"/>
      <c r="AC171" s="183"/>
      <c r="AD171" s="183"/>
      <c r="AE171" s="183"/>
      <c r="AF171" s="183"/>
      <c r="AG171" s="183"/>
      <c r="AH171" s="183"/>
    </row>
    <row r="172" spans="14:34">
      <c r="W172" s="176"/>
      <c r="AB172" s="183"/>
      <c r="AC172" s="183"/>
      <c r="AD172" s="183"/>
      <c r="AE172" s="183"/>
      <c r="AF172" s="183"/>
      <c r="AG172" s="183"/>
      <c r="AH172" s="183"/>
    </row>
    <row r="173" spans="14:34">
      <c r="W173" s="176"/>
      <c r="AB173" s="183"/>
      <c r="AC173" s="183"/>
      <c r="AD173" s="183"/>
      <c r="AE173" s="183"/>
      <c r="AF173" s="183"/>
      <c r="AG173" s="183"/>
      <c r="AH173" s="183"/>
    </row>
    <row r="174" spans="14:34">
      <c r="W174" s="176"/>
      <c r="AB174" s="183"/>
      <c r="AC174" s="183"/>
      <c r="AD174" s="183"/>
      <c r="AE174" s="183"/>
      <c r="AF174" s="183"/>
      <c r="AG174" s="183"/>
      <c r="AH174" s="183"/>
    </row>
    <row r="175" spans="14:34">
      <c r="W175" s="176"/>
      <c r="AB175" s="183"/>
      <c r="AC175" s="183"/>
      <c r="AD175" s="183"/>
      <c r="AE175" s="183"/>
      <c r="AF175" s="183"/>
      <c r="AG175" s="183"/>
      <c r="AH175" s="183"/>
    </row>
    <row r="176" spans="14:34">
      <c r="W176" s="176"/>
      <c r="AB176" s="183"/>
      <c r="AC176" s="183"/>
      <c r="AD176" s="183"/>
      <c r="AE176" s="183"/>
      <c r="AF176" s="183"/>
      <c r="AG176" s="183"/>
      <c r="AH176" s="183"/>
    </row>
    <row r="177" spans="23:34">
      <c r="W177" s="176"/>
      <c r="AB177" s="183"/>
      <c r="AC177" s="183"/>
      <c r="AD177" s="183"/>
      <c r="AE177" s="183"/>
      <c r="AF177" s="183"/>
      <c r="AG177" s="183"/>
      <c r="AH177" s="183"/>
    </row>
    <row r="178" spans="23:34">
      <c r="W178" s="176"/>
      <c r="AB178" s="183"/>
      <c r="AC178" s="183"/>
      <c r="AD178" s="183"/>
      <c r="AE178" s="183"/>
      <c r="AF178" s="183"/>
      <c r="AG178" s="183"/>
      <c r="AH178" s="183"/>
    </row>
    <row r="179" spans="23:34">
      <c r="W179" s="176"/>
      <c r="AB179" s="183"/>
      <c r="AC179" s="183"/>
      <c r="AD179" s="183"/>
      <c r="AE179" s="183"/>
      <c r="AF179" s="183"/>
      <c r="AG179" s="183"/>
      <c r="AH179" s="183"/>
    </row>
    <row r="180" spans="23:34">
      <c r="W180" s="176"/>
      <c r="AB180" s="183"/>
      <c r="AC180" s="183"/>
      <c r="AD180" s="183"/>
      <c r="AE180" s="183"/>
      <c r="AF180" s="183"/>
      <c r="AG180" s="183"/>
      <c r="AH180" s="183"/>
    </row>
    <row r="181" spans="23:34">
      <c r="W181" s="176"/>
      <c r="AB181" s="183"/>
      <c r="AC181" s="183"/>
      <c r="AD181" s="183"/>
      <c r="AE181" s="183"/>
      <c r="AF181" s="183"/>
      <c r="AG181" s="183"/>
      <c r="AH181" s="183"/>
    </row>
    <row r="182" spans="23:34">
      <c r="W182" s="176"/>
      <c r="AB182" s="183"/>
      <c r="AC182" s="183"/>
      <c r="AD182" s="183"/>
      <c r="AE182" s="183"/>
      <c r="AF182" s="183"/>
      <c r="AG182" s="183"/>
      <c r="AH182" s="183"/>
    </row>
    <row r="183" spans="23:34">
      <c r="W183" s="176"/>
      <c r="AB183" s="183"/>
      <c r="AC183" s="183"/>
      <c r="AD183" s="183"/>
      <c r="AE183" s="183"/>
      <c r="AF183" s="183"/>
      <c r="AG183" s="183"/>
      <c r="AH183" s="183"/>
    </row>
    <row r="184" spans="23:34">
      <c r="W184" s="176"/>
      <c r="AB184" s="183"/>
      <c r="AC184" s="183"/>
      <c r="AD184" s="183"/>
      <c r="AE184" s="183"/>
      <c r="AF184" s="183"/>
      <c r="AG184" s="183"/>
      <c r="AH184" s="183"/>
    </row>
    <row r="185" spans="23:34">
      <c r="W185" s="176"/>
      <c r="AB185" s="183"/>
      <c r="AC185" s="183"/>
      <c r="AD185" s="183"/>
      <c r="AE185" s="183"/>
      <c r="AF185" s="183"/>
      <c r="AG185" s="183"/>
      <c r="AH185" s="183"/>
    </row>
    <row r="186" spans="23:34">
      <c r="W186" s="176"/>
      <c r="AB186" s="183"/>
      <c r="AC186" s="183"/>
      <c r="AD186" s="183"/>
      <c r="AE186" s="183"/>
      <c r="AF186" s="183"/>
      <c r="AG186" s="183"/>
      <c r="AH186" s="183"/>
    </row>
    <row r="187" spans="23:34">
      <c r="W187" s="176"/>
      <c r="AB187" s="183"/>
      <c r="AC187" s="183"/>
      <c r="AD187" s="183"/>
      <c r="AE187" s="183"/>
      <c r="AF187" s="183"/>
      <c r="AG187" s="183"/>
      <c r="AH187" s="183"/>
    </row>
    <row r="188" spans="23:34">
      <c r="W188" s="176"/>
      <c r="AB188" s="183"/>
      <c r="AC188" s="183"/>
      <c r="AD188" s="183"/>
      <c r="AE188" s="183"/>
      <c r="AF188" s="183"/>
      <c r="AG188" s="183"/>
      <c r="AH188" s="183"/>
    </row>
    <row r="189" spans="23:34">
      <c r="W189" s="176"/>
      <c r="AB189" s="183"/>
      <c r="AC189" s="183"/>
      <c r="AD189" s="183"/>
      <c r="AE189" s="183"/>
      <c r="AF189" s="183"/>
      <c r="AG189" s="183"/>
      <c r="AH189" s="183"/>
    </row>
    <row r="190" spans="23:34">
      <c r="W190" s="176"/>
      <c r="AB190" s="183"/>
      <c r="AC190" s="183"/>
      <c r="AD190" s="183"/>
      <c r="AE190" s="183"/>
      <c r="AF190" s="183"/>
      <c r="AG190" s="183"/>
      <c r="AH190" s="183"/>
    </row>
    <row r="191" spans="23:34">
      <c r="W191" s="176"/>
      <c r="AB191" s="183"/>
      <c r="AC191" s="183"/>
      <c r="AD191" s="183"/>
      <c r="AE191" s="183"/>
      <c r="AF191" s="183"/>
      <c r="AG191" s="183"/>
      <c r="AH191" s="183"/>
    </row>
    <row r="192" spans="23:34">
      <c r="W192" s="176"/>
      <c r="AB192" s="183"/>
      <c r="AC192" s="183"/>
      <c r="AD192" s="183"/>
      <c r="AE192" s="183"/>
      <c r="AF192" s="183"/>
      <c r="AG192" s="183"/>
      <c r="AH192" s="183"/>
    </row>
    <row r="193" spans="23:34">
      <c r="W193" s="176"/>
      <c r="AB193" s="183"/>
      <c r="AC193" s="183"/>
      <c r="AD193" s="183"/>
      <c r="AE193" s="183"/>
      <c r="AF193" s="183"/>
      <c r="AG193" s="183"/>
      <c r="AH193" s="183"/>
    </row>
    <row r="194" spans="23:34">
      <c r="W194" s="176"/>
      <c r="AB194" s="183"/>
      <c r="AC194" s="183"/>
      <c r="AD194" s="183"/>
      <c r="AE194" s="183"/>
      <c r="AF194" s="183"/>
      <c r="AG194" s="183"/>
      <c r="AH194" s="183"/>
    </row>
    <row r="195" spans="23:34">
      <c r="W195" s="176"/>
      <c r="AB195" s="183"/>
      <c r="AC195" s="183"/>
      <c r="AD195" s="183"/>
      <c r="AE195" s="183"/>
      <c r="AF195" s="183"/>
      <c r="AG195" s="183"/>
      <c r="AH195" s="183"/>
    </row>
    <row r="196" spans="23:34">
      <c r="W196" s="176"/>
      <c r="AB196" s="183"/>
      <c r="AC196" s="183"/>
      <c r="AD196" s="183"/>
      <c r="AE196" s="183"/>
      <c r="AF196" s="183"/>
      <c r="AG196" s="183"/>
      <c r="AH196" s="183"/>
    </row>
    <row r="197" spans="23:34">
      <c r="W197" s="176"/>
      <c r="AB197" s="183"/>
      <c r="AC197" s="183"/>
      <c r="AD197" s="183"/>
      <c r="AE197" s="183"/>
      <c r="AF197" s="183"/>
      <c r="AG197" s="183"/>
      <c r="AH197" s="183"/>
    </row>
    <row r="198" spans="23:34">
      <c r="W198" s="176"/>
      <c r="AB198" s="183"/>
      <c r="AC198" s="183"/>
      <c r="AD198" s="183"/>
      <c r="AE198" s="183"/>
      <c r="AF198" s="183"/>
      <c r="AG198" s="183"/>
      <c r="AH198" s="183"/>
    </row>
    <row r="199" spans="23:34">
      <c r="W199" s="176"/>
      <c r="AB199" s="183"/>
      <c r="AC199" s="183"/>
      <c r="AD199" s="183"/>
      <c r="AE199" s="183"/>
      <c r="AF199" s="183"/>
      <c r="AG199" s="183"/>
      <c r="AH199" s="183"/>
    </row>
    <row r="200" spans="23:34">
      <c r="W200" s="176"/>
      <c r="AB200" s="183"/>
      <c r="AC200" s="183"/>
      <c r="AD200" s="183"/>
      <c r="AE200" s="183"/>
      <c r="AF200" s="183"/>
      <c r="AG200" s="183"/>
      <c r="AH200" s="183"/>
    </row>
    <row r="201" spans="23:34">
      <c r="W201" s="176"/>
      <c r="AB201" s="183"/>
      <c r="AC201" s="183"/>
      <c r="AD201" s="183"/>
      <c r="AE201" s="183"/>
      <c r="AF201" s="183"/>
      <c r="AG201" s="183"/>
      <c r="AH201" s="183"/>
    </row>
    <row r="202" spans="23:34">
      <c r="W202" s="176"/>
      <c r="AB202" s="183"/>
      <c r="AC202" s="183"/>
      <c r="AD202" s="183"/>
      <c r="AE202" s="183"/>
      <c r="AF202" s="183"/>
      <c r="AG202" s="183"/>
      <c r="AH202" s="183"/>
    </row>
    <row r="203" spans="23:34">
      <c r="W203" s="176"/>
      <c r="AB203" s="183"/>
      <c r="AC203" s="183"/>
      <c r="AD203" s="183"/>
      <c r="AE203" s="183"/>
      <c r="AF203" s="183"/>
      <c r="AG203" s="183"/>
      <c r="AH203" s="183"/>
    </row>
    <row r="204" spans="23:34">
      <c r="W204" s="176"/>
      <c r="AB204" s="183"/>
      <c r="AC204" s="183"/>
      <c r="AD204" s="183"/>
      <c r="AE204" s="183"/>
      <c r="AF204" s="183"/>
      <c r="AG204" s="183"/>
      <c r="AH204" s="183"/>
    </row>
    <row r="205" spans="23:34">
      <c r="W205" s="176"/>
      <c r="AB205" s="183"/>
      <c r="AC205" s="183"/>
      <c r="AD205" s="183"/>
      <c r="AE205" s="183"/>
      <c r="AF205" s="183"/>
      <c r="AG205" s="183"/>
      <c r="AH205" s="183"/>
    </row>
    <row r="206" spans="23:34">
      <c r="W206" s="176"/>
      <c r="AB206" s="183"/>
      <c r="AC206" s="183"/>
      <c r="AD206" s="183"/>
      <c r="AE206" s="183"/>
      <c r="AF206" s="183"/>
      <c r="AG206" s="183"/>
      <c r="AH206" s="183"/>
    </row>
    <row r="207" spans="23:34">
      <c r="W207" s="176"/>
      <c r="AB207" s="183"/>
      <c r="AC207" s="183"/>
      <c r="AD207" s="183"/>
      <c r="AE207" s="183"/>
      <c r="AF207" s="183"/>
      <c r="AG207" s="183"/>
      <c r="AH207" s="183"/>
    </row>
    <row r="208" spans="23:34">
      <c r="W208" s="176"/>
      <c r="AB208" s="183"/>
      <c r="AC208" s="183"/>
      <c r="AD208" s="183"/>
      <c r="AE208" s="183"/>
      <c r="AF208" s="183"/>
      <c r="AG208" s="183"/>
      <c r="AH208" s="183"/>
    </row>
    <row r="209" spans="23:34">
      <c r="W209" s="176"/>
      <c r="AB209" s="183"/>
      <c r="AC209" s="183"/>
      <c r="AD209" s="183"/>
      <c r="AE209" s="183"/>
      <c r="AF209" s="183"/>
      <c r="AG209" s="183"/>
      <c r="AH209" s="183"/>
    </row>
    <row r="210" spans="23:34">
      <c r="W210" s="176"/>
      <c r="AB210" s="183"/>
      <c r="AC210" s="183"/>
      <c r="AD210" s="183"/>
      <c r="AE210" s="183"/>
      <c r="AF210" s="183"/>
      <c r="AG210" s="183"/>
      <c r="AH210" s="183"/>
    </row>
    <row r="211" spans="23:34">
      <c r="W211" s="176"/>
      <c r="AB211" s="183"/>
      <c r="AC211" s="183"/>
      <c r="AD211" s="183"/>
      <c r="AE211" s="183"/>
      <c r="AF211" s="183"/>
      <c r="AG211" s="183"/>
      <c r="AH211" s="183"/>
    </row>
    <row r="212" spans="23:34">
      <c r="W212" s="176"/>
      <c r="AB212" s="183"/>
      <c r="AC212" s="183"/>
      <c r="AD212" s="183"/>
      <c r="AE212" s="183"/>
      <c r="AF212" s="183"/>
      <c r="AG212" s="183"/>
      <c r="AH212" s="183"/>
    </row>
    <row r="213" spans="23:34">
      <c r="W213" s="176"/>
      <c r="AB213" s="183"/>
      <c r="AC213" s="183"/>
      <c r="AD213" s="183"/>
      <c r="AE213" s="183"/>
      <c r="AF213" s="183"/>
      <c r="AG213" s="183"/>
      <c r="AH213" s="183"/>
    </row>
    <row r="214" spans="23:34">
      <c r="W214" s="176"/>
      <c r="AB214" s="183"/>
      <c r="AC214" s="183"/>
      <c r="AD214" s="183"/>
      <c r="AE214" s="183"/>
      <c r="AF214" s="183"/>
      <c r="AG214" s="183"/>
      <c r="AH214" s="183"/>
    </row>
    <row r="215" spans="23:34">
      <c r="W215" s="176"/>
      <c r="AB215" s="183"/>
      <c r="AC215" s="183"/>
      <c r="AD215" s="183"/>
      <c r="AE215" s="183"/>
      <c r="AF215" s="183"/>
      <c r="AG215" s="183"/>
      <c r="AH215" s="183"/>
    </row>
    <row r="216" spans="23:34">
      <c r="W216" s="176"/>
      <c r="AB216" s="183"/>
      <c r="AC216" s="183"/>
      <c r="AD216" s="183"/>
      <c r="AE216" s="183"/>
      <c r="AF216" s="183"/>
      <c r="AG216" s="183"/>
      <c r="AH216" s="183"/>
    </row>
    <row r="217" spans="23:34">
      <c r="W217" s="176"/>
      <c r="AB217" s="183"/>
      <c r="AC217" s="183"/>
      <c r="AD217" s="183"/>
      <c r="AE217" s="183"/>
      <c r="AF217" s="183"/>
      <c r="AG217" s="183"/>
      <c r="AH217" s="183"/>
    </row>
    <row r="218" spans="23:34">
      <c r="W218" s="176"/>
      <c r="AB218" s="183"/>
      <c r="AC218" s="183"/>
      <c r="AD218" s="183"/>
      <c r="AE218" s="183"/>
      <c r="AF218" s="183"/>
      <c r="AG218" s="183"/>
      <c r="AH218" s="183"/>
    </row>
    <row r="219" spans="23:34">
      <c r="W219" s="176"/>
      <c r="AB219" s="183"/>
      <c r="AC219" s="183"/>
      <c r="AD219" s="183"/>
      <c r="AE219" s="183"/>
      <c r="AF219" s="183"/>
      <c r="AG219" s="183"/>
      <c r="AH219" s="183"/>
    </row>
    <row r="220" spans="23:34">
      <c r="W220" s="176"/>
      <c r="AB220" s="183"/>
      <c r="AC220" s="183"/>
      <c r="AD220" s="183"/>
      <c r="AE220" s="183"/>
      <c r="AF220" s="183"/>
      <c r="AG220" s="183"/>
      <c r="AH220" s="183"/>
    </row>
    <row r="221" spans="23:34">
      <c r="W221" s="176"/>
      <c r="AB221" s="183"/>
      <c r="AC221" s="183"/>
      <c r="AD221" s="183"/>
      <c r="AE221" s="183"/>
      <c r="AF221" s="183"/>
      <c r="AG221" s="183"/>
      <c r="AH221" s="183"/>
    </row>
    <row r="222" spans="23:34">
      <c r="W222" s="176"/>
      <c r="AB222" s="183"/>
      <c r="AC222" s="183"/>
      <c r="AD222" s="183"/>
      <c r="AE222" s="183"/>
      <c r="AF222" s="183"/>
      <c r="AG222" s="183"/>
      <c r="AH222" s="183"/>
    </row>
    <row r="223" spans="23:34">
      <c r="W223" s="176"/>
      <c r="AB223" s="183"/>
      <c r="AC223" s="183"/>
      <c r="AD223" s="183"/>
      <c r="AE223" s="183"/>
      <c r="AF223" s="183"/>
      <c r="AG223" s="183"/>
      <c r="AH223" s="183"/>
    </row>
    <row r="224" spans="23:34">
      <c r="W224" s="176"/>
      <c r="AB224" s="183"/>
      <c r="AC224" s="183"/>
      <c r="AD224" s="183"/>
      <c r="AE224" s="183"/>
      <c r="AF224" s="183"/>
      <c r="AG224" s="183"/>
      <c r="AH224" s="183"/>
    </row>
    <row r="225" spans="23:34">
      <c r="W225" s="176"/>
      <c r="AB225" s="183"/>
      <c r="AC225" s="183"/>
      <c r="AD225" s="183"/>
      <c r="AE225" s="183"/>
      <c r="AF225" s="183"/>
      <c r="AG225" s="183"/>
      <c r="AH225" s="183"/>
    </row>
    <row r="226" spans="23:34">
      <c r="W226" s="176"/>
      <c r="AB226" s="183"/>
      <c r="AC226" s="183"/>
      <c r="AD226" s="183"/>
      <c r="AE226" s="183"/>
      <c r="AF226" s="183"/>
      <c r="AG226" s="183"/>
      <c r="AH226" s="183"/>
    </row>
    <row r="227" spans="23:34">
      <c r="W227" s="176"/>
      <c r="AB227" s="183"/>
      <c r="AC227" s="183"/>
      <c r="AD227" s="183"/>
      <c r="AE227" s="183"/>
      <c r="AF227" s="183"/>
      <c r="AG227" s="183"/>
      <c r="AH227" s="183"/>
    </row>
    <row r="228" spans="23:34">
      <c r="W228" s="176"/>
      <c r="AB228" s="183"/>
      <c r="AC228" s="183"/>
      <c r="AD228" s="183"/>
      <c r="AE228" s="183"/>
      <c r="AF228" s="183"/>
      <c r="AG228" s="183"/>
      <c r="AH228" s="183"/>
    </row>
    <row r="229" spans="23:34">
      <c r="W229" s="176"/>
      <c r="AB229" s="183"/>
      <c r="AC229" s="183"/>
      <c r="AD229" s="183"/>
      <c r="AE229" s="183"/>
      <c r="AF229" s="183"/>
      <c r="AG229" s="183"/>
      <c r="AH229" s="183"/>
    </row>
    <row r="230" spans="23:34">
      <c r="W230" s="176"/>
      <c r="AB230" s="183"/>
      <c r="AC230" s="183"/>
      <c r="AD230" s="183"/>
      <c r="AE230" s="183"/>
      <c r="AF230" s="183"/>
      <c r="AG230" s="183"/>
      <c r="AH230" s="183"/>
    </row>
    <row r="231" spans="23:34">
      <c r="W231" s="176"/>
      <c r="AB231" s="183"/>
      <c r="AC231" s="183"/>
      <c r="AD231" s="183"/>
      <c r="AE231" s="183"/>
      <c r="AF231" s="183"/>
      <c r="AG231" s="183"/>
      <c r="AH231" s="183"/>
    </row>
    <row r="232" spans="23:34">
      <c r="W232" s="176"/>
      <c r="AB232" s="183"/>
      <c r="AC232" s="183"/>
      <c r="AD232" s="183"/>
      <c r="AE232" s="183"/>
      <c r="AF232" s="183"/>
      <c r="AG232" s="183"/>
      <c r="AH232" s="183"/>
    </row>
    <row r="233" spans="23:34">
      <c r="W233" s="176"/>
      <c r="AB233" s="183"/>
      <c r="AC233" s="183"/>
      <c r="AD233" s="183"/>
      <c r="AE233" s="183"/>
      <c r="AF233" s="183"/>
      <c r="AG233" s="183"/>
      <c r="AH233" s="183"/>
    </row>
    <row r="234" spans="23:34">
      <c r="W234" s="176"/>
      <c r="AB234" s="183"/>
      <c r="AC234" s="183"/>
      <c r="AD234" s="183"/>
      <c r="AE234" s="183"/>
      <c r="AF234" s="183"/>
      <c r="AG234" s="183"/>
      <c r="AH234" s="183"/>
    </row>
    <row r="235" spans="23:34">
      <c r="W235" s="176"/>
      <c r="AB235" s="183"/>
      <c r="AC235" s="183"/>
      <c r="AD235" s="183"/>
      <c r="AE235" s="183"/>
      <c r="AF235" s="183"/>
      <c r="AG235" s="183"/>
      <c r="AH235" s="183"/>
    </row>
    <row r="236" spans="23:34">
      <c r="W236" s="176"/>
      <c r="AB236" s="183"/>
      <c r="AC236" s="183"/>
      <c r="AD236" s="183"/>
      <c r="AE236" s="183"/>
      <c r="AF236" s="183"/>
      <c r="AG236" s="183"/>
      <c r="AH236" s="183"/>
    </row>
    <row r="237" spans="23:34">
      <c r="W237" s="176"/>
      <c r="AB237" s="183"/>
      <c r="AC237" s="183"/>
      <c r="AD237" s="183"/>
      <c r="AE237" s="183"/>
      <c r="AF237" s="183"/>
      <c r="AG237" s="183"/>
      <c r="AH237" s="183"/>
    </row>
    <row r="238" spans="23:34">
      <c r="W238" s="176"/>
      <c r="AB238" s="183"/>
      <c r="AC238" s="183"/>
      <c r="AD238" s="183"/>
      <c r="AE238" s="183"/>
      <c r="AF238" s="183"/>
      <c r="AG238" s="183"/>
      <c r="AH238" s="183"/>
    </row>
    <row r="239" spans="23:34">
      <c r="W239" s="176"/>
      <c r="AB239" s="183"/>
      <c r="AC239" s="183"/>
      <c r="AD239" s="183"/>
      <c r="AE239" s="183"/>
      <c r="AF239" s="183"/>
      <c r="AG239" s="183"/>
      <c r="AH239" s="183"/>
    </row>
    <row r="240" spans="23:34">
      <c r="W240" s="176"/>
      <c r="AB240" s="183"/>
      <c r="AC240" s="183"/>
      <c r="AD240" s="183"/>
      <c r="AE240" s="183"/>
      <c r="AF240" s="183"/>
      <c r="AG240" s="183"/>
      <c r="AH240" s="183"/>
    </row>
    <row r="241" spans="23:34">
      <c r="W241" s="176"/>
      <c r="AB241" s="183"/>
      <c r="AC241" s="183"/>
      <c r="AD241" s="183"/>
      <c r="AE241" s="183"/>
      <c r="AF241" s="183"/>
      <c r="AG241" s="183"/>
      <c r="AH241" s="183"/>
    </row>
    <row r="242" spans="23:34">
      <c r="W242" s="176"/>
      <c r="AB242" s="183"/>
      <c r="AC242" s="183"/>
      <c r="AD242" s="183"/>
      <c r="AE242" s="183"/>
      <c r="AF242" s="183"/>
      <c r="AG242" s="183"/>
      <c r="AH242" s="183"/>
    </row>
    <row r="243" spans="23:34">
      <c r="W243" s="176"/>
      <c r="AB243" s="183"/>
      <c r="AC243" s="183"/>
      <c r="AD243" s="183"/>
      <c r="AE243" s="183"/>
      <c r="AF243" s="183"/>
      <c r="AG243" s="183"/>
      <c r="AH243" s="183"/>
    </row>
    <row r="244" spans="23:34">
      <c r="W244" s="176"/>
      <c r="AB244" s="183"/>
      <c r="AC244" s="183"/>
      <c r="AD244" s="183"/>
      <c r="AE244" s="183"/>
      <c r="AF244" s="183"/>
      <c r="AG244" s="183"/>
      <c r="AH244" s="183"/>
    </row>
    <row r="245" spans="23:34">
      <c r="W245" s="176"/>
      <c r="AB245" s="183"/>
      <c r="AC245" s="183"/>
      <c r="AD245" s="183"/>
      <c r="AE245" s="183"/>
      <c r="AF245" s="183"/>
      <c r="AG245" s="183"/>
      <c r="AH245" s="183"/>
    </row>
    <row r="246" spans="23:34">
      <c r="W246" s="176"/>
      <c r="AB246" s="183"/>
      <c r="AC246" s="183"/>
      <c r="AD246" s="183"/>
      <c r="AE246" s="183"/>
      <c r="AF246" s="183"/>
      <c r="AG246" s="183"/>
      <c r="AH246" s="183"/>
    </row>
    <row r="247" spans="23:34">
      <c r="W247" s="176"/>
      <c r="AB247" s="183"/>
      <c r="AC247" s="183"/>
      <c r="AD247" s="183"/>
      <c r="AE247" s="183"/>
      <c r="AF247" s="183"/>
      <c r="AG247" s="183"/>
      <c r="AH247" s="183"/>
    </row>
    <row r="248" spans="23:34">
      <c r="W248" s="176"/>
      <c r="AB248" s="183"/>
      <c r="AC248" s="183"/>
      <c r="AD248" s="183"/>
      <c r="AE248" s="183"/>
      <c r="AF248" s="183"/>
      <c r="AG248" s="183"/>
      <c r="AH248" s="183"/>
    </row>
    <row r="249" spans="23:34">
      <c r="W249" s="176"/>
      <c r="AB249" s="183"/>
      <c r="AC249" s="183"/>
      <c r="AD249" s="183"/>
      <c r="AE249" s="183"/>
      <c r="AF249" s="183"/>
      <c r="AG249" s="183"/>
      <c r="AH249" s="183"/>
    </row>
    <row r="250" spans="23:34">
      <c r="W250" s="176"/>
      <c r="AB250" s="183"/>
      <c r="AC250" s="183"/>
      <c r="AD250" s="183"/>
      <c r="AE250" s="183"/>
      <c r="AF250" s="183"/>
      <c r="AG250" s="183"/>
      <c r="AH250" s="183"/>
    </row>
    <row r="251" spans="23:34">
      <c r="W251" s="176"/>
      <c r="AB251" s="183"/>
      <c r="AC251" s="183"/>
      <c r="AD251" s="183"/>
      <c r="AE251" s="183"/>
      <c r="AF251" s="183"/>
      <c r="AG251" s="183"/>
      <c r="AH251" s="183"/>
    </row>
    <row r="252" spans="23:34">
      <c r="W252" s="176"/>
      <c r="AB252" s="183"/>
      <c r="AC252" s="183"/>
      <c r="AD252" s="183"/>
      <c r="AE252" s="183"/>
      <c r="AF252" s="183"/>
      <c r="AG252" s="183"/>
      <c r="AH252" s="183"/>
    </row>
    <row r="253" spans="23:34">
      <c r="W253" s="176"/>
      <c r="AB253" s="183"/>
      <c r="AC253" s="183"/>
      <c r="AD253" s="183"/>
      <c r="AE253" s="183"/>
      <c r="AF253" s="183"/>
      <c r="AG253" s="183"/>
      <c r="AH253" s="183"/>
    </row>
    <row r="254" spans="23:34">
      <c r="W254" s="176"/>
      <c r="AB254" s="183"/>
      <c r="AC254" s="183"/>
      <c r="AD254" s="183"/>
      <c r="AE254" s="183"/>
      <c r="AF254" s="183"/>
      <c r="AG254" s="183"/>
      <c r="AH254" s="183"/>
    </row>
    <row r="255" spans="23:34">
      <c r="W255" s="176"/>
      <c r="AB255" s="183"/>
      <c r="AC255" s="183"/>
      <c r="AD255" s="183"/>
      <c r="AE255" s="183"/>
      <c r="AF255" s="183"/>
      <c r="AG255" s="183"/>
      <c r="AH255" s="183"/>
    </row>
    <row r="256" spans="23:34">
      <c r="W256" s="176"/>
      <c r="AB256" s="183"/>
      <c r="AC256" s="183"/>
      <c r="AD256" s="183"/>
      <c r="AE256" s="183"/>
      <c r="AF256" s="183"/>
      <c r="AG256" s="183"/>
      <c r="AH256" s="183"/>
    </row>
    <row r="257" spans="23:34">
      <c r="W257" s="176"/>
      <c r="AB257" s="183"/>
      <c r="AC257" s="183"/>
      <c r="AD257" s="183"/>
      <c r="AE257" s="183"/>
      <c r="AF257" s="183"/>
      <c r="AG257" s="183"/>
      <c r="AH257" s="183"/>
    </row>
    <row r="258" spans="23:34">
      <c r="W258" s="176"/>
      <c r="AB258" s="183"/>
      <c r="AC258" s="183"/>
      <c r="AD258" s="183"/>
      <c r="AE258" s="183"/>
      <c r="AF258" s="183"/>
      <c r="AG258" s="183"/>
      <c r="AH258" s="183"/>
    </row>
    <row r="259" spans="23:34">
      <c r="W259" s="176"/>
      <c r="AB259" s="183"/>
      <c r="AC259" s="183"/>
      <c r="AD259" s="183"/>
      <c r="AE259" s="183"/>
      <c r="AF259" s="183"/>
      <c r="AG259" s="183"/>
      <c r="AH259" s="183"/>
    </row>
    <row r="260" spans="23:34">
      <c r="W260" s="176"/>
      <c r="AB260" s="183"/>
      <c r="AC260" s="183"/>
      <c r="AD260" s="183"/>
      <c r="AE260" s="183"/>
      <c r="AF260" s="183"/>
      <c r="AG260" s="183"/>
      <c r="AH260" s="183"/>
    </row>
    <row r="261" spans="23:34">
      <c r="W261" s="176"/>
      <c r="AB261" s="183"/>
      <c r="AC261" s="183"/>
      <c r="AD261" s="183"/>
      <c r="AE261" s="183"/>
      <c r="AF261" s="183"/>
      <c r="AG261" s="183"/>
      <c r="AH261" s="183"/>
    </row>
    <row r="262" spans="23:34">
      <c r="W262" s="176"/>
      <c r="AB262" s="183"/>
      <c r="AC262" s="183"/>
      <c r="AD262" s="183"/>
      <c r="AE262" s="183"/>
      <c r="AF262" s="183"/>
      <c r="AG262" s="183"/>
      <c r="AH262" s="183"/>
    </row>
    <row r="263" spans="23:34">
      <c r="W263" s="176"/>
      <c r="AB263" s="183"/>
      <c r="AC263" s="183"/>
      <c r="AD263" s="183"/>
      <c r="AE263" s="183"/>
      <c r="AF263" s="183"/>
      <c r="AG263" s="183"/>
      <c r="AH263" s="183"/>
    </row>
    <row r="264" spans="23:34">
      <c r="W264" s="176"/>
      <c r="AB264" s="183"/>
      <c r="AC264" s="183"/>
      <c r="AD264" s="183"/>
      <c r="AE264" s="183"/>
      <c r="AF264" s="183"/>
      <c r="AG264" s="183"/>
      <c r="AH264" s="183"/>
    </row>
    <row r="265" spans="23:34">
      <c r="W265" s="176"/>
      <c r="AB265" s="183"/>
      <c r="AC265" s="183"/>
      <c r="AD265" s="183"/>
      <c r="AE265" s="183"/>
      <c r="AF265" s="183"/>
      <c r="AG265" s="183"/>
      <c r="AH265" s="183"/>
    </row>
    <row r="266" spans="23:34">
      <c r="W266" s="176"/>
      <c r="AB266" s="183"/>
      <c r="AC266" s="183"/>
      <c r="AD266" s="183"/>
      <c r="AE266" s="183"/>
      <c r="AF266" s="183"/>
      <c r="AG266" s="183"/>
      <c r="AH266" s="183"/>
    </row>
    <row r="267" spans="23:34">
      <c r="W267" s="176"/>
      <c r="AB267" s="183"/>
      <c r="AC267" s="183"/>
      <c r="AD267" s="183"/>
      <c r="AE267" s="183"/>
      <c r="AF267" s="183"/>
      <c r="AG267" s="183"/>
      <c r="AH267" s="183"/>
    </row>
    <row r="268" spans="23:34">
      <c r="W268" s="176"/>
      <c r="AB268" s="183"/>
      <c r="AC268" s="183"/>
      <c r="AD268" s="183"/>
      <c r="AE268" s="183"/>
      <c r="AF268" s="183"/>
      <c r="AG268" s="183"/>
      <c r="AH268" s="183"/>
    </row>
    <row r="269" spans="23:34">
      <c r="W269" s="176"/>
      <c r="AB269" s="183"/>
      <c r="AC269" s="183"/>
      <c r="AD269" s="183"/>
      <c r="AE269" s="183"/>
      <c r="AF269" s="183"/>
      <c r="AG269" s="183"/>
      <c r="AH269" s="183"/>
    </row>
    <row r="270" spans="23:34">
      <c r="W270" s="176"/>
      <c r="AB270" s="183"/>
      <c r="AC270" s="183"/>
      <c r="AD270" s="183"/>
      <c r="AE270" s="183"/>
      <c r="AF270" s="183"/>
      <c r="AG270" s="183"/>
      <c r="AH270" s="183"/>
    </row>
    <row r="271" spans="23:34">
      <c r="W271" s="176"/>
      <c r="AB271" s="183"/>
      <c r="AC271" s="183"/>
      <c r="AD271" s="183"/>
      <c r="AE271" s="183"/>
      <c r="AF271" s="183"/>
      <c r="AG271" s="183"/>
      <c r="AH271" s="183"/>
    </row>
    <row r="272" spans="23:34">
      <c r="W272" s="176"/>
      <c r="AB272" s="183"/>
      <c r="AC272" s="183"/>
      <c r="AD272" s="183"/>
      <c r="AE272" s="183"/>
      <c r="AF272" s="183"/>
      <c r="AG272" s="183"/>
      <c r="AH272" s="183"/>
    </row>
    <row r="273" spans="23:34">
      <c r="W273" s="176"/>
      <c r="AB273" s="183"/>
      <c r="AC273" s="183"/>
      <c r="AD273" s="183"/>
      <c r="AE273" s="183"/>
      <c r="AF273" s="183"/>
      <c r="AG273" s="183"/>
      <c r="AH273" s="183"/>
    </row>
    <row r="274" spans="23:34">
      <c r="W274" s="176"/>
      <c r="AB274" s="183"/>
      <c r="AC274" s="183"/>
      <c r="AD274" s="183"/>
      <c r="AE274" s="183"/>
      <c r="AF274" s="183"/>
      <c r="AG274" s="183"/>
      <c r="AH274" s="183"/>
    </row>
    <row r="275" spans="23:34">
      <c r="W275" s="176"/>
      <c r="AB275" s="183"/>
      <c r="AC275" s="183"/>
      <c r="AD275" s="183"/>
      <c r="AE275" s="183"/>
      <c r="AF275" s="183"/>
      <c r="AG275" s="183"/>
      <c r="AH275" s="183"/>
    </row>
    <row r="276" spans="23:34">
      <c r="W276" s="176"/>
      <c r="AB276" s="183"/>
      <c r="AC276" s="183"/>
      <c r="AD276" s="183"/>
      <c r="AE276" s="183"/>
      <c r="AF276" s="183"/>
      <c r="AG276" s="183"/>
      <c r="AH276" s="183"/>
    </row>
    <row r="277" spans="23:34">
      <c r="W277" s="176"/>
      <c r="AB277" s="183"/>
      <c r="AC277" s="183"/>
      <c r="AD277" s="183"/>
      <c r="AE277" s="183"/>
      <c r="AF277" s="183"/>
      <c r="AG277" s="183"/>
      <c r="AH277" s="183"/>
    </row>
    <row r="278" spans="23:34">
      <c r="W278" s="176"/>
      <c r="AB278" s="183"/>
      <c r="AC278" s="183"/>
      <c r="AD278" s="183"/>
      <c r="AE278" s="183"/>
      <c r="AF278" s="183"/>
      <c r="AG278" s="183"/>
      <c r="AH278" s="183"/>
    </row>
    <row r="279" spans="23:34">
      <c r="W279" s="176"/>
      <c r="AB279" s="183"/>
      <c r="AC279" s="183"/>
      <c r="AD279" s="183"/>
      <c r="AE279" s="183"/>
      <c r="AF279" s="183"/>
      <c r="AG279" s="183"/>
      <c r="AH279" s="183"/>
    </row>
    <row r="280" spans="23:34">
      <c r="W280" s="176"/>
      <c r="AB280" s="183"/>
      <c r="AC280" s="183"/>
      <c r="AD280" s="183"/>
      <c r="AE280" s="183"/>
      <c r="AF280" s="183"/>
      <c r="AG280" s="183"/>
      <c r="AH280" s="183"/>
    </row>
    <row r="281" spans="23:34">
      <c r="W281" s="176"/>
      <c r="AB281" s="183"/>
      <c r="AC281" s="183"/>
      <c r="AD281" s="183"/>
      <c r="AE281" s="183"/>
      <c r="AF281" s="183"/>
      <c r="AG281" s="183"/>
      <c r="AH281" s="183"/>
    </row>
    <row r="282" spans="23:34">
      <c r="W282" s="176"/>
      <c r="AB282" s="183"/>
      <c r="AC282" s="183"/>
      <c r="AD282" s="183"/>
      <c r="AE282" s="183"/>
      <c r="AF282" s="183"/>
      <c r="AG282" s="183"/>
      <c r="AH282" s="183"/>
    </row>
    <row r="283" spans="23:34">
      <c r="W283" s="176"/>
      <c r="AB283" s="183"/>
      <c r="AC283" s="183"/>
      <c r="AD283" s="183"/>
      <c r="AE283" s="183"/>
      <c r="AF283" s="183"/>
      <c r="AG283" s="183"/>
      <c r="AH283" s="183"/>
    </row>
    <row r="284" spans="23:34">
      <c r="W284" s="176"/>
      <c r="AB284" s="183"/>
      <c r="AC284" s="183"/>
      <c r="AD284" s="183"/>
      <c r="AE284" s="183"/>
      <c r="AF284" s="183"/>
      <c r="AG284" s="183"/>
      <c r="AH284" s="183"/>
    </row>
    <row r="285" spans="23:34">
      <c r="W285" s="176"/>
      <c r="AB285" s="183"/>
      <c r="AC285" s="183"/>
      <c r="AD285" s="183"/>
      <c r="AE285" s="183"/>
      <c r="AF285" s="183"/>
      <c r="AG285" s="183"/>
      <c r="AH285" s="183"/>
    </row>
    <row r="286" spans="23:34">
      <c r="W286" s="176"/>
      <c r="AB286" s="183"/>
      <c r="AC286" s="183"/>
      <c r="AD286" s="183"/>
      <c r="AE286" s="183"/>
      <c r="AF286" s="183"/>
      <c r="AG286" s="183"/>
      <c r="AH286" s="183"/>
    </row>
    <row r="287" spans="23:34">
      <c r="W287" s="176"/>
      <c r="AB287" s="183"/>
      <c r="AC287" s="183"/>
      <c r="AD287" s="183"/>
      <c r="AE287" s="183"/>
      <c r="AF287" s="183"/>
      <c r="AG287" s="183"/>
      <c r="AH287" s="183"/>
    </row>
    <row r="288" spans="23:34">
      <c r="W288" s="176"/>
      <c r="AB288" s="183"/>
      <c r="AC288" s="183"/>
      <c r="AD288" s="183"/>
      <c r="AE288" s="183"/>
      <c r="AF288" s="183"/>
      <c r="AG288" s="183"/>
      <c r="AH288" s="183"/>
    </row>
    <row r="289" spans="23:34">
      <c r="W289" s="176"/>
      <c r="AB289" s="183"/>
      <c r="AC289" s="183"/>
      <c r="AD289" s="183"/>
      <c r="AE289" s="183"/>
      <c r="AF289" s="183"/>
      <c r="AG289" s="183"/>
      <c r="AH289" s="183"/>
    </row>
    <row r="290" spans="23:34">
      <c r="W290" s="176"/>
      <c r="AB290" s="183"/>
      <c r="AC290" s="183"/>
      <c r="AD290" s="183"/>
      <c r="AE290" s="183"/>
      <c r="AF290" s="183"/>
      <c r="AG290" s="183"/>
      <c r="AH290" s="183"/>
    </row>
    <row r="291" spans="23:34">
      <c r="W291" s="176"/>
      <c r="AB291" s="183"/>
      <c r="AC291" s="183"/>
      <c r="AD291" s="183"/>
      <c r="AE291" s="183"/>
      <c r="AF291" s="183"/>
      <c r="AG291" s="183"/>
      <c r="AH291" s="183"/>
    </row>
    <row r="292" spans="23:34">
      <c r="W292" s="176"/>
      <c r="AB292" s="183"/>
      <c r="AC292" s="183"/>
      <c r="AD292" s="183"/>
      <c r="AE292" s="183"/>
      <c r="AF292" s="183"/>
      <c r="AG292" s="183"/>
      <c r="AH292" s="183"/>
    </row>
    <row r="293" spans="23:34">
      <c r="W293" s="176"/>
      <c r="AB293" s="183"/>
      <c r="AC293" s="183"/>
      <c r="AD293" s="183"/>
      <c r="AE293" s="183"/>
      <c r="AF293" s="183"/>
      <c r="AG293" s="183"/>
      <c r="AH293" s="183"/>
    </row>
    <row r="294" spans="23:34">
      <c r="W294" s="176"/>
      <c r="AB294" s="183"/>
      <c r="AC294" s="183"/>
      <c r="AD294" s="183"/>
      <c r="AE294" s="183"/>
      <c r="AF294" s="183"/>
      <c r="AG294" s="183"/>
      <c r="AH294" s="183"/>
    </row>
    <row r="295" spans="23:34">
      <c r="W295" s="176"/>
      <c r="AB295" s="183"/>
      <c r="AC295" s="183"/>
      <c r="AD295" s="183"/>
      <c r="AE295" s="183"/>
      <c r="AF295" s="183"/>
      <c r="AG295" s="183"/>
      <c r="AH295" s="183"/>
    </row>
    <row r="296" spans="23:34">
      <c r="W296" s="176"/>
      <c r="AB296" s="183"/>
      <c r="AC296" s="183"/>
      <c r="AD296" s="183"/>
      <c r="AE296" s="183"/>
      <c r="AF296" s="183"/>
      <c r="AG296" s="183"/>
      <c r="AH296" s="183"/>
    </row>
    <row r="297" spans="23:34">
      <c r="W297" s="176"/>
      <c r="AB297" s="183"/>
      <c r="AC297" s="183"/>
      <c r="AD297" s="183"/>
      <c r="AE297" s="183"/>
      <c r="AF297" s="183"/>
      <c r="AG297" s="183"/>
      <c r="AH297" s="183"/>
    </row>
    <row r="298" spans="23:34">
      <c r="W298" s="176"/>
      <c r="AB298" s="183"/>
      <c r="AC298" s="183"/>
      <c r="AD298" s="183"/>
      <c r="AE298" s="183"/>
      <c r="AF298" s="183"/>
      <c r="AG298" s="183"/>
      <c r="AH298" s="183"/>
    </row>
    <row r="299" spans="23:34">
      <c r="W299" s="176"/>
      <c r="AB299" s="183"/>
      <c r="AC299" s="183"/>
      <c r="AD299" s="183"/>
      <c r="AE299" s="183"/>
      <c r="AF299" s="183"/>
      <c r="AG299" s="183"/>
      <c r="AH299" s="183"/>
    </row>
    <row r="300" spans="23:34">
      <c r="W300" s="176"/>
      <c r="AB300" s="183"/>
      <c r="AC300" s="183"/>
      <c r="AD300" s="183"/>
      <c r="AE300" s="183"/>
      <c r="AF300" s="183"/>
      <c r="AG300" s="183"/>
      <c r="AH300" s="183"/>
    </row>
    <row r="301" spans="23:34">
      <c r="W301" s="176"/>
      <c r="AB301" s="183"/>
      <c r="AC301" s="183"/>
      <c r="AD301" s="183"/>
      <c r="AE301" s="183"/>
      <c r="AF301" s="183"/>
      <c r="AG301" s="183"/>
      <c r="AH301" s="183"/>
    </row>
    <row r="302" spans="23:34">
      <c r="W302" s="176"/>
      <c r="AB302" s="183"/>
      <c r="AC302" s="183"/>
      <c r="AD302" s="183"/>
      <c r="AE302" s="183"/>
      <c r="AF302" s="183"/>
      <c r="AG302" s="183"/>
      <c r="AH302" s="183"/>
    </row>
    <row r="303" spans="23:34">
      <c r="W303" s="176"/>
      <c r="AB303" s="183"/>
      <c r="AC303" s="183"/>
      <c r="AD303" s="183"/>
      <c r="AE303" s="183"/>
      <c r="AF303" s="183"/>
      <c r="AG303" s="183"/>
      <c r="AH303" s="183"/>
    </row>
    <row r="304" spans="23:34">
      <c r="W304" s="176"/>
      <c r="AB304" s="183"/>
      <c r="AC304" s="183"/>
      <c r="AD304" s="183"/>
      <c r="AE304" s="183"/>
      <c r="AF304" s="183"/>
      <c r="AG304" s="183"/>
      <c r="AH304" s="183"/>
    </row>
    <row r="305" spans="23:34">
      <c r="W305" s="176"/>
      <c r="AB305" s="183"/>
      <c r="AC305" s="183"/>
      <c r="AD305" s="183"/>
      <c r="AE305" s="183"/>
      <c r="AF305" s="183"/>
      <c r="AG305" s="183"/>
      <c r="AH305" s="183"/>
    </row>
    <row r="306" spans="23:34">
      <c r="W306" s="176"/>
      <c r="AB306" s="183"/>
      <c r="AC306" s="183"/>
      <c r="AD306" s="183"/>
      <c r="AE306" s="183"/>
      <c r="AF306" s="183"/>
      <c r="AG306" s="183"/>
      <c r="AH306" s="183"/>
    </row>
    <row r="307" spans="23:34">
      <c r="W307" s="176"/>
      <c r="AB307" s="183"/>
      <c r="AC307" s="183"/>
      <c r="AD307" s="183"/>
      <c r="AE307" s="183"/>
      <c r="AF307" s="183"/>
      <c r="AG307" s="183"/>
      <c r="AH307" s="183"/>
    </row>
    <row r="308" spans="23:34">
      <c r="W308" s="176"/>
      <c r="AB308" s="183"/>
      <c r="AC308" s="183"/>
      <c r="AD308" s="183"/>
      <c r="AE308" s="183"/>
      <c r="AF308" s="183"/>
      <c r="AG308" s="183"/>
      <c r="AH308" s="183"/>
    </row>
    <row r="309" spans="23:34">
      <c r="W309" s="176"/>
      <c r="AB309" s="183"/>
      <c r="AC309" s="183"/>
      <c r="AD309" s="183"/>
      <c r="AE309" s="183"/>
      <c r="AF309" s="183"/>
      <c r="AG309" s="183"/>
      <c r="AH309" s="183"/>
    </row>
    <row r="310" spans="23:34">
      <c r="W310" s="176"/>
      <c r="AB310" s="183"/>
      <c r="AC310" s="183"/>
      <c r="AD310" s="183"/>
      <c r="AE310" s="183"/>
      <c r="AF310" s="183"/>
      <c r="AG310" s="183"/>
      <c r="AH310" s="183"/>
    </row>
    <row r="311" spans="23:34">
      <c r="W311" s="176"/>
      <c r="AB311" s="183"/>
      <c r="AC311" s="183"/>
      <c r="AD311" s="183"/>
      <c r="AE311" s="183"/>
      <c r="AF311" s="183"/>
      <c r="AG311" s="183"/>
      <c r="AH311" s="183"/>
    </row>
    <row r="312" spans="23:34">
      <c r="W312" s="176"/>
      <c r="AB312" s="183"/>
      <c r="AC312" s="183"/>
      <c r="AD312" s="183"/>
      <c r="AE312" s="183"/>
      <c r="AF312" s="183"/>
      <c r="AG312" s="183"/>
      <c r="AH312" s="183"/>
    </row>
    <row r="313" spans="23:34">
      <c r="W313" s="176"/>
      <c r="AB313" s="183"/>
      <c r="AC313" s="183"/>
      <c r="AD313" s="183"/>
      <c r="AE313" s="183"/>
      <c r="AF313" s="183"/>
      <c r="AG313" s="183"/>
      <c r="AH313" s="183"/>
    </row>
    <row r="314" spans="23:34">
      <c r="W314" s="176"/>
      <c r="AB314" s="183"/>
      <c r="AC314" s="183"/>
      <c r="AD314" s="183"/>
      <c r="AE314" s="183"/>
      <c r="AF314" s="183"/>
      <c r="AG314" s="183"/>
      <c r="AH314" s="183"/>
    </row>
    <row r="315" spans="23:34">
      <c r="W315" s="176"/>
      <c r="AB315" s="183"/>
      <c r="AC315" s="183"/>
      <c r="AD315" s="183"/>
      <c r="AE315" s="183"/>
      <c r="AF315" s="183"/>
      <c r="AG315" s="183"/>
      <c r="AH315" s="183"/>
    </row>
    <row r="316" spans="23:34">
      <c r="W316" s="176"/>
      <c r="AB316" s="183"/>
      <c r="AC316" s="183"/>
      <c r="AD316" s="183"/>
      <c r="AE316" s="183"/>
      <c r="AF316" s="183"/>
      <c r="AG316" s="183"/>
      <c r="AH316" s="183"/>
    </row>
    <row r="317" spans="23:34">
      <c r="W317" s="176"/>
      <c r="AB317" s="183"/>
      <c r="AC317" s="183"/>
      <c r="AD317" s="183"/>
      <c r="AE317" s="183"/>
      <c r="AF317" s="183"/>
      <c r="AG317" s="183"/>
      <c r="AH317" s="183"/>
    </row>
    <row r="318" spans="23:34">
      <c r="W318" s="176"/>
      <c r="AB318" s="183"/>
      <c r="AC318" s="183"/>
      <c r="AD318" s="183"/>
      <c r="AE318" s="183"/>
      <c r="AF318" s="183"/>
      <c r="AG318" s="183"/>
      <c r="AH318" s="183"/>
    </row>
    <row r="319" spans="23:34">
      <c r="W319" s="176"/>
      <c r="AB319" s="183"/>
      <c r="AC319" s="183"/>
      <c r="AD319" s="183"/>
      <c r="AE319" s="183"/>
      <c r="AF319" s="183"/>
      <c r="AG319" s="183"/>
      <c r="AH319" s="183"/>
    </row>
    <row r="320" spans="23:34">
      <c r="W320" s="176"/>
      <c r="AB320" s="183"/>
      <c r="AC320" s="183"/>
      <c r="AD320" s="183"/>
      <c r="AE320" s="183"/>
      <c r="AF320" s="183"/>
      <c r="AG320" s="183"/>
      <c r="AH320" s="183"/>
    </row>
    <row r="321" spans="23:34">
      <c r="W321" s="176"/>
      <c r="AB321" s="183"/>
      <c r="AC321" s="183"/>
      <c r="AD321" s="183"/>
      <c r="AE321" s="183"/>
      <c r="AF321" s="183"/>
      <c r="AG321" s="183"/>
      <c r="AH321" s="183"/>
    </row>
    <row r="322" spans="23:34">
      <c r="W322" s="176"/>
      <c r="AB322" s="183"/>
      <c r="AC322" s="183"/>
      <c r="AD322" s="183"/>
      <c r="AE322" s="183"/>
      <c r="AF322" s="183"/>
      <c r="AG322" s="183"/>
      <c r="AH322" s="183"/>
    </row>
    <row r="323" spans="23:34">
      <c r="W323" s="176"/>
      <c r="AB323" s="183"/>
      <c r="AC323" s="183"/>
      <c r="AD323" s="183"/>
      <c r="AE323" s="183"/>
      <c r="AF323" s="183"/>
      <c r="AG323" s="183"/>
      <c r="AH323" s="183"/>
    </row>
    <row r="324" spans="23:34">
      <c r="W324" s="176"/>
      <c r="AB324" s="183"/>
      <c r="AC324" s="183"/>
      <c r="AD324" s="183"/>
      <c r="AE324" s="183"/>
      <c r="AF324" s="183"/>
      <c r="AG324" s="183"/>
      <c r="AH324" s="183"/>
    </row>
    <row r="325" spans="23:34">
      <c r="W325" s="176"/>
      <c r="AB325" s="183"/>
      <c r="AC325" s="183"/>
      <c r="AD325" s="183"/>
      <c r="AE325" s="183"/>
      <c r="AF325" s="183"/>
      <c r="AG325" s="183"/>
      <c r="AH325" s="183"/>
    </row>
    <row r="326" spans="23:34">
      <c r="W326" s="176"/>
      <c r="AB326" s="183"/>
      <c r="AC326" s="183"/>
      <c r="AD326" s="183"/>
      <c r="AE326" s="183"/>
      <c r="AF326" s="183"/>
      <c r="AG326" s="183"/>
      <c r="AH326" s="183"/>
    </row>
    <row r="327" spans="23:34">
      <c r="W327" s="176"/>
      <c r="AB327" s="183"/>
      <c r="AC327" s="183"/>
      <c r="AD327" s="183"/>
      <c r="AE327" s="183"/>
      <c r="AF327" s="183"/>
      <c r="AG327" s="183"/>
      <c r="AH327" s="183"/>
    </row>
    <row r="328" spans="23:34">
      <c r="W328" s="176"/>
      <c r="AB328" s="183"/>
      <c r="AC328" s="183"/>
      <c r="AD328" s="183"/>
      <c r="AE328" s="183"/>
      <c r="AF328" s="183"/>
      <c r="AG328" s="183"/>
      <c r="AH328" s="183"/>
    </row>
    <row r="329" spans="23:34">
      <c r="W329" s="176"/>
      <c r="AB329" s="183"/>
      <c r="AC329" s="183"/>
      <c r="AD329" s="183"/>
      <c r="AE329" s="183"/>
      <c r="AF329" s="183"/>
      <c r="AG329" s="183"/>
      <c r="AH329" s="183"/>
    </row>
    <row r="330" spans="23:34">
      <c r="W330" s="176"/>
      <c r="AB330" s="183"/>
      <c r="AC330" s="183"/>
      <c r="AD330" s="183"/>
      <c r="AE330" s="183"/>
      <c r="AF330" s="183"/>
      <c r="AG330" s="183"/>
      <c r="AH330" s="183"/>
    </row>
    <row r="331" spans="23:34">
      <c r="W331" s="176"/>
      <c r="AB331" s="183"/>
      <c r="AC331" s="183"/>
      <c r="AD331" s="183"/>
      <c r="AE331" s="183"/>
      <c r="AF331" s="183"/>
      <c r="AG331" s="183"/>
      <c r="AH331" s="183"/>
    </row>
    <row r="332" spans="23:34">
      <c r="W332" s="176"/>
      <c r="AB332" s="183"/>
      <c r="AC332" s="183"/>
      <c r="AD332" s="183"/>
      <c r="AE332" s="183"/>
      <c r="AF332" s="183"/>
      <c r="AG332" s="183"/>
      <c r="AH332" s="183"/>
    </row>
    <row r="333" spans="23:34">
      <c r="W333" s="176"/>
      <c r="AB333" s="183"/>
      <c r="AC333" s="183"/>
      <c r="AD333" s="183"/>
      <c r="AE333" s="183"/>
      <c r="AF333" s="183"/>
      <c r="AG333" s="183"/>
      <c r="AH333" s="183"/>
    </row>
    <row r="334" spans="23:34">
      <c r="W334" s="176"/>
      <c r="AB334" s="183"/>
      <c r="AC334" s="183"/>
      <c r="AD334" s="183"/>
      <c r="AE334" s="183"/>
      <c r="AF334" s="183"/>
      <c r="AG334" s="183"/>
      <c r="AH334" s="183"/>
    </row>
    <row r="335" spans="23:34">
      <c r="W335" s="176"/>
      <c r="AB335" s="183"/>
      <c r="AC335" s="183"/>
      <c r="AD335" s="183"/>
      <c r="AE335" s="183"/>
      <c r="AF335" s="183"/>
      <c r="AG335" s="183"/>
      <c r="AH335" s="183"/>
    </row>
    <row r="336" spans="23:34">
      <c r="W336" s="176"/>
      <c r="AB336" s="183"/>
      <c r="AC336" s="183"/>
      <c r="AD336" s="183"/>
      <c r="AE336" s="183"/>
      <c r="AF336" s="183"/>
      <c r="AG336" s="183"/>
      <c r="AH336" s="183"/>
    </row>
    <row r="337" spans="23:34">
      <c r="W337" s="176"/>
      <c r="AB337" s="183"/>
      <c r="AC337" s="183"/>
      <c r="AD337" s="183"/>
      <c r="AE337" s="183"/>
      <c r="AF337" s="183"/>
      <c r="AG337" s="183"/>
      <c r="AH337" s="183"/>
    </row>
    <row r="338" spans="23:34">
      <c r="W338" s="176"/>
      <c r="AB338" s="183"/>
      <c r="AC338" s="183"/>
      <c r="AD338" s="183"/>
      <c r="AE338" s="183"/>
      <c r="AF338" s="183"/>
      <c r="AG338" s="183"/>
      <c r="AH338" s="183"/>
    </row>
    <row r="339" spans="23:34">
      <c r="W339" s="176"/>
      <c r="AB339" s="183"/>
      <c r="AC339" s="183"/>
      <c r="AD339" s="183"/>
      <c r="AE339" s="183"/>
      <c r="AF339" s="183"/>
      <c r="AG339" s="183"/>
      <c r="AH339" s="183"/>
    </row>
    <row r="340" spans="23:34">
      <c r="W340" s="176"/>
      <c r="AB340" s="183"/>
      <c r="AC340" s="183"/>
      <c r="AD340" s="183"/>
      <c r="AE340" s="183"/>
      <c r="AF340" s="183"/>
      <c r="AG340" s="183"/>
      <c r="AH340" s="183"/>
    </row>
    <row r="341" spans="23:34">
      <c r="W341" s="176"/>
      <c r="AB341" s="183"/>
      <c r="AC341" s="183"/>
      <c r="AD341" s="183"/>
      <c r="AE341" s="183"/>
      <c r="AF341" s="183"/>
      <c r="AG341" s="183"/>
      <c r="AH341" s="183"/>
    </row>
    <row r="342" spans="23:34">
      <c r="W342" s="176"/>
      <c r="AB342" s="183"/>
      <c r="AC342" s="183"/>
      <c r="AD342" s="183"/>
      <c r="AE342" s="183"/>
      <c r="AF342" s="183"/>
      <c r="AG342" s="183"/>
      <c r="AH342" s="183"/>
    </row>
    <row r="343" spans="23:34">
      <c r="W343" s="176"/>
      <c r="AB343" s="183"/>
      <c r="AC343" s="183"/>
      <c r="AD343" s="183"/>
      <c r="AE343" s="183"/>
      <c r="AF343" s="183"/>
      <c r="AG343" s="183"/>
      <c r="AH343" s="183"/>
    </row>
    <row r="344" spans="23:34">
      <c r="W344" s="176"/>
      <c r="AB344" s="183"/>
      <c r="AC344" s="183"/>
      <c r="AD344" s="183"/>
      <c r="AE344" s="183"/>
      <c r="AF344" s="183"/>
      <c r="AG344" s="183"/>
      <c r="AH344" s="183"/>
    </row>
    <row r="345" spans="23:34">
      <c r="W345" s="176"/>
      <c r="AB345" s="183"/>
      <c r="AC345" s="183"/>
      <c r="AD345" s="183"/>
      <c r="AE345" s="183"/>
      <c r="AF345" s="183"/>
      <c r="AG345" s="183"/>
      <c r="AH345" s="183"/>
    </row>
    <row r="346" spans="23:34">
      <c r="W346" s="176"/>
      <c r="AB346" s="183"/>
      <c r="AC346" s="183"/>
      <c r="AD346" s="183"/>
      <c r="AE346" s="183"/>
      <c r="AF346" s="183"/>
      <c r="AG346" s="183"/>
      <c r="AH346" s="183"/>
    </row>
    <row r="347" spans="23:34">
      <c r="W347" s="176"/>
      <c r="AB347" s="183"/>
      <c r="AC347" s="183"/>
      <c r="AD347" s="183"/>
      <c r="AE347" s="183"/>
      <c r="AF347" s="183"/>
      <c r="AG347" s="183"/>
      <c r="AH347" s="183"/>
    </row>
    <row r="348" spans="23:34">
      <c r="W348" s="176"/>
      <c r="AB348" s="183"/>
      <c r="AC348" s="183"/>
      <c r="AD348" s="183"/>
      <c r="AE348" s="183"/>
      <c r="AF348" s="183"/>
      <c r="AG348" s="183"/>
      <c r="AH348" s="183"/>
    </row>
    <row r="349" spans="23:34">
      <c r="W349" s="176"/>
      <c r="AB349" s="183"/>
      <c r="AC349" s="183"/>
      <c r="AD349" s="183"/>
      <c r="AE349" s="183"/>
      <c r="AF349" s="183"/>
      <c r="AG349" s="183"/>
      <c r="AH349" s="183"/>
    </row>
    <row r="350" spans="23:34">
      <c r="W350" s="176"/>
      <c r="AB350" s="183"/>
      <c r="AC350" s="183"/>
      <c r="AD350" s="183"/>
      <c r="AE350" s="183"/>
      <c r="AF350" s="183"/>
      <c r="AG350" s="183"/>
      <c r="AH350" s="183"/>
    </row>
    <row r="351" spans="23:34">
      <c r="W351" s="176"/>
      <c r="AB351" s="183"/>
      <c r="AC351" s="183"/>
      <c r="AD351" s="183"/>
      <c r="AE351" s="183"/>
      <c r="AF351" s="183"/>
      <c r="AG351" s="183"/>
      <c r="AH351" s="183"/>
    </row>
    <row r="352" spans="23:34">
      <c r="W352" s="176"/>
      <c r="AB352" s="183"/>
      <c r="AC352" s="183"/>
      <c r="AD352" s="183"/>
      <c r="AE352" s="183"/>
      <c r="AF352" s="183"/>
      <c r="AG352" s="183"/>
      <c r="AH352" s="183"/>
    </row>
    <row r="353" spans="23:34">
      <c r="W353" s="176"/>
      <c r="AB353" s="183"/>
      <c r="AC353" s="183"/>
      <c r="AD353" s="183"/>
      <c r="AE353" s="183"/>
      <c r="AF353" s="183"/>
      <c r="AG353" s="183"/>
      <c r="AH353" s="183"/>
    </row>
    <row r="354" spans="23:34">
      <c r="W354" s="176"/>
      <c r="AB354" s="183"/>
      <c r="AC354" s="183"/>
      <c r="AD354" s="183"/>
      <c r="AE354" s="183"/>
      <c r="AF354" s="183"/>
      <c r="AG354" s="183"/>
      <c r="AH354" s="183"/>
    </row>
    <row r="355" spans="23:34">
      <c r="W355" s="176"/>
      <c r="AB355" s="183"/>
      <c r="AC355" s="183"/>
      <c r="AD355" s="183"/>
      <c r="AE355" s="183"/>
      <c r="AF355" s="183"/>
      <c r="AG355" s="183"/>
      <c r="AH355" s="183"/>
    </row>
    <row r="356" spans="23:34">
      <c r="W356" s="176"/>
      <c r="AB356" s="183"/>
      <c r="AC356" s="183"/>
      <c r="AD356" s="183"/>
      <c r="AE356" s="183"/>
      <c r="AF356" s="183"/>
      <c r="AG356" s="183"/>
      <c r="AH356" s="183"/>
    </row>
    <row r="357" spans="23:34">
      <c r="W357" s="176"/>
      <c r="AB357" s="183"/>
      <c r="AC357" s="183"/>
      <c r="AD357" s="183"/>
      <c r="AE357" s="183"/>
      <c r="AF357" s="183"/>
      <c r="AG357" s="183"/>
      <c r="AH357" s="183"/>
    </row>
    <row r="358" spans="23:34">
      <c r="W358" s="176"/>
      <c r="AB358" s="183"/>
      <c r="AC358" s="183"/>
      <c r="AD358" s="183"/>
      <c r="AE358" s="183"/>
      <c r="AF358" s="183"/>
      <c r="AG358" s="183"/>
      <c r="AH358" s="183"/>
    </row>
    <row r="359" spans="23:34">
      <c r="W359" s="176"/>
      <c r="AB359" s="183"/>
      <c r="AC359" s="183"/>
      <c r="AD359" s="183"/>
      <c r="AE359" s="183"/>
      <c r="AF359" s="183"/>
      <c r="AG359" s="183"/>
      <c r="AH359" s="183"/>
    </row>
    <row r="360" spans="23:34">
      <c r="W360" s="176"/>
      <c r="AB360" s="183"/>
      <c r="AC360" s="183"/>
      <c r="AD360" s="183"/>
      <c r="AE360" s="183"/>
      <c r="AF360" s="183"/>
      <c r="AG360" s="183"/>
      <c r="AH360" s="183"/>
    </row>
    <row r="361" spans="23:34">
      <c r="W361" s="176"/>
      <c r="AB361" s="183"/>
      <c r="AC361" s="183"/>
      <c r="AD361" s="183"/>
      <c r="AE361" s="183"/>
      <c r="AF361" s="183"/>
      <c r="AG361" s="183"/>
      <c r="AH361" s="183"/>
    </row>
    <row r="362" spans="23:34">
      <c r="W362" s="176"/>
      <c r="AB362" s="183"/>
      <c r="AC362" s="183"/>
      <c r="AD362" s="183"/>
      <c r="AE362" s="183"/>
      <c r="AF362" s="183"/>
      <c r="AG362" s="183"/>
      <c r="AH362" s="183"/>
    </row>
    <row r="363" spans="23:34">
      <c r="W363" s="176"/>
      <c r="AB363" s="183"/>
      <c r="AC363" s="183"/>
      <c r="AD363" s="183"/>
      <c r="AE363" s="183"/>
      <c r="AF363" s="183"/>
      <c r="AG363" s="183"/>
      <c r="AH363" s="183"/>
    </row>
    <row r="364" spans="23:34">
      <c r="W364" s="176"/>
      <c r="AB364" s="183"/>
      <c r="AC364" s="183"/>
      <c r="AD364" s="183"/>
      <c r="AE364" s="183"/>
      <c r="AF364" s="183"/>
      <c r="AG364" s="183"/>
      <c r="AH364" s="183"/>
    </row>
    <row r="365" spans="23:34">
      <c r="W365" s="176"/>
      <c r="AB365" s="183"/>
      <c r="AC365" s="183"/>
      <c r="AD365" s="183"/>
      <c r="AE365" s="183"/>
      <c r="AF365" s="183"/>
      <c r="AG365" s="183"/>
      <c r="AH365" s="183"/>
    </row>
    <row r="366" spans="23:34">
      <c r="W366" s="176"/>
      <c r="AB366" s="183"/>
      <c r="AC366" s="183"/>
      <c r="AD366" s="183"/>
      <c r="AE366" s="183"/>
      <c r="AF366" s="183"/>
      <c r="AG366" s="183"/>
      <c r="AH366" s="183"/>
    </row>
    <row r="367" spans="23:34">
      <c r="W367" s="176"/>
      <c r="AB367" s="183"/>
      <c r="AC367" s="183"/>
      <c r="AD367" s="183"/>
      <c r="AE367" s="183"/>
      <c r="AF367" s="183"/>
      <c r="AG367" s="183"/>
      <c r="AH367" s="183"/>
    </row>
    <row r="368" spans="23:34">
      <c r="W368" s="176"/>
      <c r="AB368" s="183"/>
      <c r="AC368" s="183"/>
      <c r="AD368" s="183"/>
      <c r="AE368" s="183"/>
      <c r="AF368" s="183"/>
      <c r="AG368" s="183"/>
      <c r="AH368" s="183"/>
    </row>
    <row r="369" spans="23:34">
      <c r="W369" s="176"/>
      <c r="AB369" s="183"/>
      <c r="AC369" s="183"/>
      <c r="AD369" s="183"/>
      <c r="AE369" s="183"/>
      <c r="AF369" s="183"/>
      <c r="AG369" s="183"/>
      <c r="AH369" s="183"/>
    </row>
    <row r="370" spans="23:34">
      <c r="W370" s="176"/>
      <c r="AB370" s="183"/>
      <c r="AC370" s="183"/>
      <c r="AD370" s="183"/>
      <c r="AE370" s="183"/>
      <c r="AF370" s="183"/>
      <c r="AG370" s="183"/>
      <c r="AH370" s="183"/>
    </row>
    <row r="371" spans="23:34">
      <c r="W371" s="176"/>
      <c r="AB371" s="183"/>
      <c r="AC371" s="183"/>
      <c r="AD371" s="183"/>
      <c r="AE371" s="183"/>
      <c r="AF371" s="183"/>
      <c r="AG371" s="183"/>
      <c r="AH371" s="183"/>
    </row>
    <row r="372" spans="23:34">
      <c r="W372" s="176"/>
      <c r="AB372" s="183"/>
      <c r="AC372" s="183"/>
      <c r="AD372" s="183"/>
      <c r="AE372" s="183"/>
      <c r="AF372" s="183"/>
      <c r="AG372" s="183"/>
      <c r="AH372" s="183"/>
    </row>
    <row r="373" spans="23:34">
      <c r="W373" s="176"/>
      <c r="AB373" s="183"/>
      <c r="AC373" s="183"/>
      <c r="AD373" s="183"/>
      <c r="AE373" s="183"/>
      <c r="AF373" s="183"/>
      <c r="AG373" s="183"/>
      <c r="AH373" s="183"/>
    </row>
    <row r="374" spans="23:34">
      <c r="W374" s="176"/>
      <c r="AB374" s="183"/>
      <c r="AC374" s="183"/>
      <c r="AD374" s="183"/>
      <c r="AE374" s="183"/>
      <c r="AF374" s="183"/>
      <c r="AG374" s="183"/>
      <c r="AH374" s="183"/>
    </row>
    <row r="375" spans="23:34">
      <c r="W375" s="176"/>
      <c r="AB375" s="183"/>
      <c r="AC375" s="183"/>
      <c r="AD375" s="183"/>
      <c r="AE375" s="183"/>
      <c r="AF375" s="183"/>
      <c r="AG375" s="183"/>
      <c r="AH375" s="183"/>
    </row>
    <row r="376" spans="23:34">
      <c r="W376" s="176"/>
      <c r="AB376" s="183"/>
      <c r="AC376" s="183"/>
      <c r="AD376" s="183"/>
      <c r="AE376" s="183"/>
      <c r="AF376" s="183"/>
      <c r="AG376" s="183"/>
      <c r="AH376" s="183"/>
    </row>
    <row r="377" spans="23:34">
      <c r="W377" s="176"/>
      <c r="AB377" s="183"/>
      <c r="AC377" s="183"/>
      <c r="AD377" s="183"/>
      <c r="AE377" s="183"/>
      <c r="AF377" s="183"/>
      <c r="AG377" s="183"/>
      <c r="AH377" s="183"/>
    </row>
    <row r="378" spans="23:34">
      <c r="W378" s="176"/>
      <c r="AB378" s="183"/>
      <c r="AC378" s="183"/>
      <c r="AD378" s="183"/>
      <c r="AE378" s="183"/>
      <c r="AF378" s="183"/>
      <c r="AG378" s="183"/>
      <c r="AH378" s="183"/>
    </row>
    <row r="379" spans="23:34">
      <c r="W379" s="176"/>
      <c r="AB379" s="183"/>
      <c r="AC379" s="183"/>
      <c r="AD379" s="183"/>
      <c r="AE379" s="183"/>
      <c r="AF379" s="183"/>
      <c r="AG379" s="183"/>
      <c r="AH379" s="183"/>
    </row>
    <row r="380" spans="23:34">
      <c r="W380" s="176"/>
      <c r="AB380" s="183"/>
      <c r="AC380" s="183"/>
      <c r="AD380" s="183"/>
      <c r="AE380" s="183"/>
      <c r="AF380" s="183"/>
      <c r="AG380" s="183"/>
      <c r="AH380" s="183"/>
    </row>
    <row r="381" spans="23:34">
      <c r="W381" s="176"/>
      <c r="AB381" s="183"/>
      <c r="AC381" s="183"/>
      <c r="AD381" s="183"/>
      <c r="AE381" s="183"/>
      <c r="AF381" s="183"/>
      <c r="AG381" s="183"/>
      <c r="AH381" s="183"/>
    </row>
    <row r="382" spans="23:34">
      <c r="W382" s="176"/>
      <c r="AB382" s="183"/>
      <c r="AC382" s="183"/>
      <c r="AD382" s="183"/>
      <c r="AE382" s="183"/>
      <c r="AF382" s="183"/>
      <c r="AG382" s="183"/>
      <c r="AH382" s="183"/>
    </row>
    <row r="383" spans="23:34">
      <c r="W383" s="176"/>
      <c r="AB383" s="183"/>
      <c r="AC383" s="183"/>
      <c r="AD383" s="183"/>
      <c r="AE383" s="183"/>
      <c r="AF383" s="183"/>
      <c r="AG383" s="183"/>
      <c r="AH383" s="183"/>
    </row>
    <row r="384" spans="23:34">
      <c r="W384" s="176"/>
      <c r="AB384" s="183"/>
      <c r="AC384" s="183"/>
      <c r="AD384" s="183"/>
      <c r="AE384" s="183"/>
      <c r="AF384" s="183"/>
      <c r="AG384" s="183"/>
      <c r="AH384" s="183"/>
    </row>
    <row r="385" spans="23:34">
      <c r="W385" s="176"/>
      <c r="AB385" s="183"/>
      <c r="AC385" s="183"/>
      <c r="AD385" s="183"/>
      <c r="AE385" s="183"/>
      <c r="AF385" s="183"/>
      <c r="AG385" s="183"/>
      <c r="AH385" s="183"/>
    </row>
    <row r="386" spans="23:34">
      <c r="W386" s="176"/>
      <c r="AB386" s="183"/>
      <c r="AC386" s="183"/>
      <c r="AD386" s="183"/>
      <c r="AE386" s="183"/>
      <c r="AF386" s="183"/>
      <c r="AG386" s="183"/>
      <c r="AH386" s="183"/>
    </row>
    <row r="387" spans="23:34">
      <c r="W387" s="176"/>
      <c r="AB387" s="183"/>
      <c r="AC387" s="183"/>
      <c r="AD387" s="183"/>
      <c r="AE387" s="183"/>
      <c r="AF387" s="183"/>
      <c r="AG387" s="183"/>
      <c r="AH387" s="183"/>
    </row>
    <row r="388" spans="23:34">
      <c r="W388" s="176"/>
      <c r="AB388" s="183"/>
      <c r="AC388" s="183"/>
      <c r="AD388" s="183"/>
      <c r="AE388" s="183"/>
      <c r="AF388" s="183"/>
      <c r="AG388" s="183"/>
      <c r="AH388" s="183"/>
    </row>
    <row r="389" spans="23:34">
      <c r="W389" s="176"/>
      <c r="AB389" s="183"/>
      <c r="AC389" s="183"/>
      <c r="AD389" s="183"/>
      <c r="AE389" s="183"/>
      <c r="AF389" s="183"/>
      <c r="AG389" s="183"/>
      <c r="AH389" s="183"/>
    </row>
    <row r="390" spans="23:34">
      <c r="W390" s="176"/>
      <c r="AB390" s="183"/>
      <c r="AC390" s="183"/>
      <c r="AD390" s="183"/>
      <c r="AE390" s="183"/>
      <c r="AF390" s="183"/>
      <c r="AG390" s="183"/>
      <c r="AH390" s="183"/>
    </row>
    <row r="391" spans="23:34">
      <c r="W391" s="176"/>
      <c r="AB391" s="183"/>
      <c r="AC391" s="183"/>
      <c r="AD391" s="183"/>
      <c r="AE391" s="183"/>
      <c r="AF391" s="183"/>
      <c r="AG391" s="183"/>
      <c r="AH391" s="183"/>
    </row>
    <row r="392" spans="23:34">
      <c r="W392" s="176"/>
      <c r="AB392" s="183"/>
      <c r="AC392" s="183"/>
      <c r="AD392" s="183"/>
      <c r="AE392" s="183"/>
      <c r="AF392" s="183"/>
      <c r="AG392" s="183"/>
      <c r="AH392" s="183"/>
    </row>
    <row r="393" spans="23:34">
      <c r="W393" s="176"/>
      <c r="AB393" s="183"/>
      <c r="AC393" s="183"/>
      <c r="AD393" s="183"/>
      <c r="AE393" s="183"/>
      <c r="AF393" s="183"/>
      <c r="AG393" s="183"/>
      <c r="AH393" s="183"/>
    </row>
    <row r="394" spans="23:34">
      <c r="W394" s="176"/>
      <c r="AB394" s="183"/>
      <c r="AC394" s="183"/>
      <c r="AD394" s="183"/>
      <c r="AE394" s="183"/>
      <c r="AF394" s="183"/>
      <c r="AG394" s="183"/>
      <c r="AH394" s="183"/>
    </row>
    <row r="395" spans="23:34">
      <c r="W395" s="176"/>
      <c r="AB395" s="183"/>
      <c r="AC395" s="183"/>
      <c r="AD395" s="183"/>
      <c r="AE395" s="183"/>
      <c r="AF395" s="183"/>
      <c r="AG395" s="183"/>
      <c r="AH395" s="183"/>
    </row>
    <row r="396" spans="23:34">
      <c r="W396" s="176"/>
      <c r="AB396" s="183"/>
      <c r="AC396" s="183"/>
      <c r="AD396" s="183"/>
      <c r="AE396" s="183"/>
      <c r="AF396" s="183"/>
      <c r="AG396" s="183"/>
      <c r="AH396" s="183"/>
    </row>
    <row r="397" spans="23:34">
      <c r="W397" s="176"/>
      <c r="AB397" s="183"/>
      <c r="AC397" s="183"/>
      <c r="AD397" s="183"/>
      <c r="AE397" s="183"/>
      <c r="AF397" s="183"/>
      <c r="AG397" s="183"/>
      <c r="AH397" s="183"/>
    </row>
    <row r="398" spans="23:34">
      <c r="W398" s="176"/>
      <c r="AB398" s="183"/>
      <c r="AC398" s="183"/>
      <c r="AD398" s="183"/>
      <c r="AE398" s="183"/>
      <c r="AF398" s="183"/>
      <c r="AG398" s="183"/>
      <c r="AH398" s="183"/>
    </row>
    <row r="399" spans="23:34">
      <c r="W399" s="176"/>
      <c r="AB399" s="183"/>
      <c r="AC399" s="183"/>
      <c r="AD399" s="183"/>
      <c r="AE399" s="183"/>
      <c r="AF399" s="183"/>
      <c r="AG399" s="183"/>
      <c r="AH399" s="183"/>
    </row>
    <row r="400" spans="23:34">
      <c r="W400" s="176"/>
      <c r="AB400" s="183"/>
      <c r="AC400" s="183"/>
      <c r="AD400" s="183"/>
      <c r="AE400" s="183"/>
      <c r="AF400" s="183"/>
      <c r="AG400" s="183"/>
      <c r="AH400" s="183"/>
    </row>
    <row r="401" spans="23:34">
      <c r="W401" s="176"/>
      <c r="AB401" s="183"/>
      <c r="AC401" s="183"/>
      <c r="AD401" s="183"/>
      <c r="AE401" s="183"/>
      <c r="AF401" s="183"/>
      <c r="AG401" s="183"/>
      <c r="AH401" s="183"/>
    </row>
    <row r="402" spans="23:34">
      <c r="W402" s="176"/>
      <c r="AB402" s="183"/>
      <c r="AC402" s="183"/>
      <c r="AD402" s="183"/>
      <c r="AE402" s="183"/>
      <c r="AF402" s="183"/>
      <c r="AG402" s="183"/>
      <c r="AH402" s="183"/>
    </row>
    <row r="403" spans="23:34">
      <c r="W403" s="176"/>
      <c r="AB403" s="183"/>
      <c r="AC403" s="183"/>
      <c r="AD403" s="183"/>
      <c r="AE403" s="183"/>
      <c r="AF403" s="183"/>
      <c r="AG403" s="183"/>
      <c r="AH403" s="183"/>
    </row>
    <row r="404" spans="23:34">
      <c r="W404" s="176"/>
      <c r="AB404" s="183"/>
      <c r="AC404" s="183"/>
      <c r="AD404" s="183"/>
      <c r="AE404" s="183"/>
      <c r="AF404" s="183"/>
      <c r="AG404" s="183"/>
      <c r="AH404" s="183"/>
    </row>
    <row r="405" spans="23:34">
      <c r="W405" s="176"/>
      <c r="AB405" s="183"/>
      <c r="AC405" s="183"/>
      <c r="AD405" s="183"/>
      <c r="AE405" s="183"/>
      <c r="AF405" s="183"/>
      <c r="AG405" s="183"/>
      <c r="AH405" s="183"/>
    </row>
    <row r="406" spans="23:34">
      <c r="W406" s="176"/>
      <c r="AB406" s="183"/>
      <c r="AC406" s="183"/>
      <c r="AD406" s="183"/>
      <c r="AE406" s="183"/>
      <c r="AF406" s="183"/>
      <c r="AG406" s="183"/>
      <c r="AH406" s="183"/>
    </row>
    <row r="407" spans="23:34">
      <c r="W407" s="176"/>
      <c r="AB407" s="183"/>
      <c r="AC407" s="183"/>
      <c r="AD407" s="183"/>
      <c r="AE407" s="183"/>
      <c r="AF407" s="183"/>
      <c r="AG407" s="183"/>
      <c r="AH407" s="183"/>
    </row>
    <row r="408" spans="23:34">
      <c r="W408" s="176"/>
      <c r="AB408" s="183"/>
      <c r="AC408" s="183"/>
      <c r="AD408" s="183"/>
      <c r="AE408" s="183"/>
      <c r="AF408" s="183"/>
      <c r="AG408" s="183"/>
      <c r="AH408" s="183"/>
    </row>
    <row r="409" spans="23:34">
      <c r="W409" s="176"/>
      <c r="AB409" s="183"/>
      <c r="AC409" s="183"/>
      <c r="AD409" s="183"/>
      <c r="AE409" s="183"/>
      <c r="AF409" s="183"/>
      <c r="AG409" s="183"/>
      <c r="AH409" s="183"/>
    </row>
    <row r="410" spans="23:34">
      <c r="W410" s="176"/>
      <c r="AB410" s="183"/>
      <c r="AC410" s="183"/>
      <c r="AD410" s="183"/>
      <c r="AE410" s="183"/>
      <c r="AF410" s="183"/>
      <c r="AG410" s="183"/>
      <c r="AH410" s="183"/>
    </row>
    <row r="411" spans="23:34">
      <c r="W411" s="176"/>
      <c r="AB411" s="183"/>
      <c r="AC411" s="183"/>
      <c r="AD411" s="183"/>
      <c r="AE411" s="183"/>
      <c r="AF411" s="183"/>
      <c r="AG411" s="183"/>
      <c r="AH411" s="183"/>
    </row>
    <row r="412" spans="23:34">
      <c r="W412" s="176"/>
      <c r="AB412" s="183"/>
      <c r="AC412" s="183"/>
      <c r="AD412" s="183"/>
      <c r="AE412" s="183"/>
      <c r="AF412" s="183"/>
      <c r="AG412" s="183"/>
      <c r="AH412" s="183"/>
    </row>
    <row r="413" spans="23:34">
      <c r="W413" s="176"/>
      <c r="AB413" s="183"/>
      <c r="AC413" s="183"/>
      <c r="AD413" s="183"/>
      <c r="AE413" s="183"/>
      <c r="AF413" s="183"/>
      <c r="AG413" s="183"/>
      <c r="AH413" s="183"/>
    </row>
    <row r="414" spans="23:34">
      <c r="W414" s="176"/>
      <c r="AB414" s="183"/>
      <c r="AC414" s="183"/>
      <c r="AD414" s="183"/>
      <c r="AE414" s="183"/>
      <c r="AF414" s="183"/>
      <c r="AG414" s="183"/>
      <c r="AH414" s="183"/>
    </row>
    <row r="415" spans="23:34">
      <c r="W415" s="176"/>
      <c r="AB415" s="183"/>
      <c r="AC415" s="183"/>
      <c r="AD415" s="183"/>
      <c r="AE415" s="183"/>
      <c r="AF415" s="183"/>
      <c r="AG415" s="183"/>
      <c r="AH415" s="183"/>
    </row>
    <row r="416" spans="23:34">
      <c r="W416" s="176"/>
      <c r="AB416" s="183"/>
      <c r="AC416" s="183"/>
      <c r="AD416" s="183"/>
      <c r="AE416" s="183"/>
      <c r="AF416" s="183"/>
      <c r="AG416" s="183"/>
      <c r="AH416" s="183"/>
    </row>
    <row r="417" spans="23:34">
      <c r="W417" s="176"/>
      <c r="AB417" s="183"/>
      <c r="AC417" s="183"/>
      <c r="AD417" s="183"/>
      <c r="AE417" s="183"/>
      <c r="AF417" s="183"/>
      <c r="AG417" s="183"/>
      <c r="AH417" s="183"/>
    </row>
    <row r="418" spans="23:34">
      <c r="W418" s="176"/>
      <c r="AB418" s="183"/>
      <c r="AC418" s="183"/>
      <c r="AD418" s="183"/>
      <c r="AE418" s="183"/>
      <c r="AF418" s="183"/>
      <c r="AG418" s="183"/>
      <c r="AH418" s="183"/>
    </row>
    <row r="419" spans="23:34">
      <c r="W419" s="176"/>
      <c r="AB419" s="183"/>
      <c r="AC419" s="183"/>
      <c r="AD419" s="183"/>
      <c r="AE419" s="183"/>
      <c r="AF419" s="183"/>
      <c r="AG419" s="183"/>
      <c r="AH419" s="183"/>
    </row>
    <row r="420" spans="23:34">
      <c r="W420" s="176"/>
      <c r="AB420" s="183"/>
      <c r="AC420" s="183"/>
      <c r="AD420" s="183"/>
      <c r="AE420" s="183"/>
      <c r="AF420" s="183"/>
      <c r="AG420" s="183"/>
      <c r="AH420" s="183"/>
    </row>
    <row r="421" spans="23:34">
      <c r="W421" s="176"/>
      <c r="AB421" s="183"/>
      <c r="AC421" s="183"/>
      <c r="AD421" s="183"/>
      <c r="AE421" s="183"/>
      <c r="AF421" s="183"/>
      <c r="AG421" s="183"/>
      <c r="AH421" s="183"/>
    </row>
    <row r="422" spans="23:34">
      <c r="W422" s="176"/>
      <c r="AB422" s="183"/>
      <c r="AC422" s="183"/>
      <c r="AD422" s="183"/>
      <c r="AE422" s="183"/>
      <c r="AF422" s="183"/>
      <c r="AG422" s="183"/>
      <c r="AH422" s="183"/>
    </row>
    <row r="423" spans="23:34">
      <c r="W423" s="176"/>
      <c r="AB423" s="183"/>
      <c r="AC423" s="183"/>
      <c r="AD423" s="183"/>
      <c r="AE423" s="183"/>
      <c r="AF423" s="183"/>
      <c r="AG423" s="183"/>
      <c r="AH423" s="183"/>
    </row>
    <row r="424" spans="23:34">
      <c r="W424" s="176"/>
      <c r="AB424" s="183"/>
      <c r="AC424" s="183"/>
      <c r="AD424" s="183"/>
      <c r="AE424" s="183"/>
      <c r="AF424" s="183"/>
      <c r="AG424" s="183"/>
      <c r="AH424" s="183"/>
    </row>
    <row r="425" spans="23:34">
      <c r="W425" s="176"/>
      <c r="AB425" s="183"/>
      <c r="AC425" s="183"/>
      <c r="AD425" s="183"/>
      <c r="AE425" s="183"/>
      <c r="AF425" s="183"/>
      <c r="AG425" s="183"/>
      <c r="AH425" s="183"/>
    </row>
    <row r="426" spans="23:34">
      <c r="W426" s="176"/>
      <c r="AB426" s="183"/>
      <c r="AC426" s="183"/>
      <c r="AD426" s="183"/>
      <c r="AE426" s="183"/>
      <c r="AF426" s="183"/>
      <c r="AG426" s="183"/>
      <c r="AH426" s="183"/>
    </row>
    <row r="427" spans="23:34">
      <c r="W427" s="176"/>
      <c r="AB427" s="183"/>
      <c r="AC427" s="183"/>
      <c r="AD427" s="183"/>
      <c r="AE427" s="183"/>
      <c r="AF427" s="183"/>
      <c r="AG427" s="183"/>
      <c r="AH427" s="183"/>
    </row>
    <row r="428" spans="23:34">
      <c r="W428" s="176"/>
      <c r="AB428" s="183"/>
      <c r="AC428" s="183"/>
      <c r="AD428" s="183"/>
      <c r="AE428" s="183"/>
      <c r="AF428" s="183"/>
      <c r="AG428" s="183"/>
      <c r="AH428" s="183"/>
    </row>
    <row r="429" spans="23:34">
      <c r="W429" s="176"/>
      <c r="AB429" s="183"/>
      <c r="AC429" s="183"/>
      <c r="AD429" s="183"/>
      <c r="AE429" s="183"/>
      <c r="AF429" s="183"/>
      <c r="AG429" s="183"/>
      <c r="AH429" s="183"/>
    </row>
    <row r="430" spans="23:34">
      <c r="W430" s="176"/>
      <c r="AB430" s="183"/>
      <c r="AC430" s="183"/>
      <c r="AD430" s="183"/>
      <c r="AE430" s="183"/>
      <c r="AF430" s="183"/>
      <c r="AG430" s="183"/>
      <c r="AH430" s="183"/>
    </row>
    <row r="431" spans="23:34">
      <c r="W431" s="176"/>
      <c r="AB431" s="183"/>
      <c r="AC431" s="183"/>
      <c r="AD431" s="183"/>
      <c r="AE431" s="183"/>
      <c r="AF431" s="183"/>
      <c r="AG431" s="183"/>
      <c r="AH431" s="183"/>
    </row>
    <row r="432" spans="23:34">
      <c r="W432" s="176"/>
      <c r="AB432" s="183"/>
      <c r="AC432" s="183"/>
      <c r="AD432" s="183"/>
      <c r="AE432" s="183"/>
      <c r="AF432" s="183"/>
      <c r="AG432" s="183"/>
      <c r="AH432" s="183"/>
    </row>
    <row r="433" spans="23:34">
      <c r="W433" s="176"/>
      <c r="AB433" s="183"/>
      <c r="AC433" s="183"/>
      <c r="AD433" s="183"/>
      <c r="AE433" s="183"/>
      <c r="AF433" s="183"/>
      <c r="AG433" s="183"/>
      <c r="AH433" s="183"/>
    </row>
    <row r="434" spans="23:34">
      <c r="W434" s="176"/>
      <c r="AB434" s="183"/>
      <c r="AC434" s="183"/>
      <c r="AD434" s="183"/>
      <c r="AE434" s="183"/>
      <c r="AF434" s="183"/>
      <c r="AG434" s="183"/>
      <c r="AH434" s="183"/>
    </row>
    <row r="435" spans="23:34">
      <c r="W435" s="176"/>
      <c r="AB435" s="183"/>
      <c r="AC435" s="183"/>
      <c r="AD435" s="183"/>
      <c r="AE435" s="183"/>
      <c r="AF435" s="183"/>
      <c r="AG435" s="183"/>
      <c r="AH435" s="183"/>
    </row>
    <row r="436" spans="23:34">
      <c r="W436" s="176"/>
      <c r="AB436" s="183"/>
      <c r="AC436" s="183"/>
      <c r="AD436" s="183"/>
      <c r="AE436" s="183"/>
      <c r="AF436" s="183"/>
      <c r="AG436" s="183"/>
      <c r="AH436" s="183"/>
    </row>
    <row r="437" spans="23:34">
      <c r="W437" s="176"/>
      <c r="AB437" s="183"/>
      <c r="AC437" s="183"/>
      <c r="AD437" s="183"/>
      <c r="AE437" s="183"/>
      <c r="AF437" s="183"/>
      <c r="AG437" s="183"/>
      <c r="AH437" s="183"/>
    </row>
    <row r="438" spans="23:34">
      <c r="W438" s="176"/>
      <c r="AB438" s="183"/>
      <c r="AC438" s="183"/>
      <c r="AD438" s="183"/>
      <c r="AE438" s="183"/>
      <c r="AF438" s="183"/>
      <c r="AG438" s="183"/>
      <c r="AH438" s="183"/>
    </row>
    <row r="439" spans="23:34">
      <c r="W439" s="176"/>
      <c r="AB439" s="183"/>
      <c r="AC439" s="183"/>
      <c r="AD439" s="183"/>
      <c r="AE439" s="183"/>
      <c r="AF439" s="183"/>
      <c r="AG439" s="183"/>
      <c r="AH439" s="183"/>
    </row>
    <row r="440" spans="23:34">
      <c r="W440" s="176"/>
      <c r="AB440" s="183"/>
      <c r="AC440" s="183"/>
      <c r="AD440" s="183"/>
      <c r="AE440" s="183"/>
      <c r="AF440" s="183"/>
      <c r="AG440" s="183"/>
      <c r="AH440" s="183"/>
    </row>
    <row r="441" spans="23:34">
      <c r="W441" s="176"/>
      <c r="AB441" s="183"/>
      <c r="AC441" s="183"/>
      <c r="AD441" s="183"/>
      <c r="AE441" s="183"/>
      <c r="AF441" s="183"/>
      <c r="AG441" s="183"/>
      <c r="AH441" s="183"/>
    </row>
    <row r="442" spans="23:34">
      <c r="W442" s="176"/>
      <c r="AB442" s="183"/>
      <c r="AC442" s="183"/>
      <c r="AD442" s="183"/>
      <c r="AE442" s="183"/>
      <c r="AF442" s="183"/>
      <c r="AG442" s="183"/>
      <c r="AH442" s="183"/>
    </row>
    <row r="443" spans="23:34">
      <c r="W443" s="176"/>
      <c r="AB443" s="183"/>
      <c r="AC443" s="183"/>
      <c r="AD443" s="183"/>
      <c r="AE443" s="183"/>
      <c r="AF443" s="183"/>
      <c r="AG443" s="183"/>
      <c r="AH443" s="183"/>
    </row>
    <row r="444" spans="23:34">
      <c r="W444" s="176"/>
      <c r="AB444" s="183"/>
      <c r="AC444" s="183"/>
      <c r="AD444" s="183"/>
      <c r="AE444" s="183"/>
      <c r="AF444" s="183"/>
      <c r="AG444" s="183"/>
      <c r="AH444" s="183"/>
    </row>
    <row r="445" spans="23:34">
      <c r="W445" s="176"/>
      <c r="AB445" s="183"/>
      <c r="AC445" s="183"/>
      <c r="AD445" s="183"/>
      <c r="AE445" s="183"/>
      <c r="AF445" s="183"/>
      <c r="AG445" s="183"/>
      <c r="AH445" s="183"/>
    </row>
    <row r="446" spans="23:34">
      <c r="W446" s="176"/>
      <c r="AB446" s="183"/>
      <c r="AC446" s="183"/>
      <c r="AD446" s="183"/>
      <c r="AE446" s="183"/>
      <c r="AF446" s="183"/>
      <c r="AG446" s="183"/>
      <c r="AH446" s="183"/>
    </row>
    <row r="447" spans="23:34">
      <c r="W447" s="176"/>
      <c r="AB447" s="183"/>
      <c r="AC447" s="183"/>
      <c r="AD447" s="183"/>
      <c r="AE447" s="183"/>
      <c r="AF447" s="183"/>
      <c r="AG447" s="183"/>
      <c r="AH447" s="183"/>
    </row>
    <row r="448" spans="23:34">
      <c r="W448" s="176"/>
      <c r="AB448" s="183"/>
      <c r="AC448" s="183"/>
      <c r="AD448" s="183"/>
      <c r="AE448" s="183"/>
      <c r="AF448" s="183"/>
      <c r="AG448" s="183"/>
      <c r="AH448" s="183"/>
    </row>
    <row r="449" spans="23:34">
      <c r="W449" s="176"/>
      <c r="AB449" s="183"/>
      <c r="AC449" s="183"/>
      <c r="AD449" s="183"/>
      <c r="AE449" s="183"/>
      <c r="AF449" s="183"/>
      <c r="AG449" s="183"/>
      <c r="AH449" s="183"/>
    </row>
    <row r="450" spans="23:34">
      <c r="W450" s="176"/>
      <c r="AB450" s="183"/>
      <c r="AC450" s="183"/>
      <c r="AD450" s="183"/>
      <c r="AE450" s="183"/>
      <c r="AF450" s="183"/>
      <c r="AG450" s="183"/>
      <c r="AH450" s="183"/>
    </row>
    <row r="451" spans="23:34">
      <c r="W451" s="176"/>
      <c r="AB451" s="183"/>
      <c r="AC451" s="183"/>
      <c r="AD451" s="183"/>
      <c r="AE451" s="183"/>
      <c r="AF451" s="183"/>
      <c r="AG451" s="183"/>
      <c r="AH451" s="183"/>
    </row>
    <row r="452" spans="23:34">
      <c r="W452" s="176"/>
      <c r="AB452" s="183"/>
      <c r="AC452" s="183"/>
      <c r="AD452" s="183"/>
      <c r="AE452" s="183"/>
      <c r="AF452" s="183"/>
      <c r="AG452" s="183"/>
      <c r="AH452" s="183"/>
    </row>
    <row r="453" spans="23:34">
      <c r="W453" s="176"/>
      <c r="AB453" s="183"/>
      <c r="AC453" s="183"/>
      <c r="AD453" s="183"/>
      <c r="AE453" s="183"/>
      <c r="AF453" s="183"/>
      <c r="AG453" s="183"/>
      <c r="AH453" s="183"/>
    </row>
    <row r="454" spans="23:34">
      <c r="W454" s="176"/>
      <c r="AB454" s="183"/>
      <c r="AC454" s="183"/>
      <c r="AD454" s="183"/>
      <c r="AE454" s="183"/>
      <c r="AF454" s="183"/>
      <c r="AG454" s="183"/>
      <c r="AH454" s="183"/>
    </row>
    <row r="455" spans="23:34">
      <c r="W455" s="176"/>
      <c r="AB455" s="183"/>
      <c r="AC455" s="183"/>
      <c r="AD455" s="183"/>
      <c r="AE455" s="183"/>
      <c r="AF455" s="183"/>
      <c r="AG455" s="183"/>
      <c r="AH455" s="183"/>
    </row>
    <row r="456" spans="23:34">
      <c r="W456" s="176"/>
      <c r="AB456" s="183"/>
      <c r="AC456" s="183"/>
      <c r="AD456" s="183"/>
      <c r="AE456" s="183"/>
      <c r="AF456" s="183"/>
      <c r="AG456" s="183"/>
      <c r="AH456" s="183"/>
    </row>
    <row r="457" spans="23:34">
      <c r="W457" s="176"/>
      <c r="AB457" s="183"/>
      <c r="AC457" s="183"/>
      <c r="AD457" s="183"/>
      <c r="AE457" s="183"/>
      <c r="AF457" s="183"/>
      <c r="AG457" s="183"/>
      <c r="AH457" s="183"/>
    </row>
    <row r="458" spans="23:34">
      <c r="W458" s="176"/>
      <c r="AB458" s="183"/>
      <c r="AC458" s="183"/>
      <c r="AD458" s="183"/>
      <c r="AE458" s="183"/>
      <c r="AF458" s="183"/>
      <c r="AG458" s="183"/>
      <c r="AH458" s="183"/>
    </row>
    <row r="459" spans="23:34">
      <c r="W459" s="176"/>
      <c r="AB459" s="183"/>
      <c r="AC459" s="183"/>
      <c r="AD459" s="183"/>
      <c r="AE459" s="183"/>
      <c r="AF459" s="183"/>
      <c r="AG459" s="183"/>
      <c r="AH459" s="183"/>
    </row>
    <row r="460" spans="23:34">
      <c r="W460" s="176"/>
      <c r="AB460" s="183"/>
      <c r="AC460" s="183"/>
      <c r="AD460" s="183"/>
      <c r="AE460" s="183"/>
      <c r="AF460" s="183"/>
      <c r="AG460" s="183"/>
      <c r="AH460" s="183"/>
    </row>
    <row r="461" spans="23:34">
      <c r="W461" s="176"/>
      <c r="AB461" s="183"/>
      <c r="AC461" s="183"/>
      <c r="AD461" s="183"/>
      <c r="AE461" s="183"/>
      <c r="AF461" s="183"/>
      <c r="AG461" s="183"/>
      <c r="AH461" s="183"/>
    </row>
    <row r="462" spans="23:34">
      <c r="W462" s="176"/>
      <c r="AB462" s="183"/>
      <c r="AC462" s="183"/>
      <c r="AD462" s="183"/>
      <c r="AE462" s="183"/>
      <c r="AF462" s="183"/>
      <c r="AG462" s="183"/>
      <c r="AH462" s="183"/>
    </row>
    <row r="463" spans="23:34">
      <c r="W463" s="176"/>
      <c r="AB463" s="183"/>
      <c r="AC463" s="183"/>
      <c r="AD463" s="183"/>
      <c r="AE463" s="183"/>
      <c r="AF463" s="183"/>
      <c r="AG463" s="183"/>
      <c r="AH463" s="183"/>
    </row>
    <row r="464" spans="23:34">
      <c r="W464" s="176"/>
      <c r="AB464" s="183"/>
      <c r="AC464" s="183"/>
      <c r="AD464" s="183"/>
      <c r="AE464" s="183"/>
      <c r="AF464" s="183"/>
      <c r="AG464" s="183"/>
      <c r="AH464" s="183"/>
    </row>
    <row r="465" spans="23:34">
      <c r="W465" s="176"/>
      <c r="AB465" s="183"/>
      <c r="AC465" s="183"/>
      <c r="AD465" s="183"/>
      <c r="AE465" s="183"/>
      <c r="AF465" s="183"/>
      <c r="AG465" s="183"/>
      <c r="AH465" s="183"/>
    </row>
    <row r="466" spans="23:34">
      <c r="W466" s="176"/>
      <c r="AB466" s="183"/>
      <c r="AC466" s="183"/>
      <c r="AD466" s="183"/>
      <c r="AE466" s="183"/>
      <c r="AF466" s="183"/>
      <c r="AG466" s="183"/>
      <c r="AH466" s="183"/>
    </row>
    <row r="467" spans="23:34">
      <c r="W467" s="176"/>
      <c r="AB467" s="183"/>
      <c r="AC467" s="183"/>
      <c r="AD467" s="183"/>
      <c r="AE467" s="183"/>
      <c r="AF467" s="183"/>
      <c r="AG467" s="183"/>
      <c r="AH467" s="183"/>
    </row>
    <row r="468" spans="23:34">
      <c r="W468" s="176"/>
      <c r="AB468" s="183"/>
      <c r="AC468" s="183"/>
      <c r="AD468" s="183"/>
      <c r="AE468" s="183"/>
      <c r="AF468" s="183"/>
      <c r="AG468" s="183"/>
      <c r="AH468" s="183"/>
    </row>
    <row r="469" spans="23:34">
      <c r="W469" s="176"/>
      <c r="AB469" s="183"/>
      <c r="AC469" s="183"/>
      <c r="AD469" s="183"/>
      <c r="AE469" s="183"/>
      <c r="AF469" s="183"/>
      <c r="AG469" s="183"/>
      <c r="AH469" s="183"/>
    </row>
    <row r="470" spans="23:34">
      <c r="W470" s="176"/>
      <c r="AB470" s="183"/>
      <c r="AC470" s="183"/>
      <c r="AD470" s="183"/>
      <c r="AE470" s="183"/>
      <c r="AF470" s="183"/>
      <c r="AG470" s="183"/>
      <c r="AH470" s="183"/>
    </row>
    <row r="471" spans="23:34">
      <c r="W471" s="176"/>
      <c r="AB471" s="183"/>
      <c r="AC471" s="183"/>
      <c r="AD471" s="183"/>
      <c r="AE471" s="183"/>
      <c r="AF471" s="183"/>
      <c r="AG471" s="183"/>
      <c r="AH471" s="183"/>
    </row>
    <row r="472" spans="23:34">
      <c r="W472" s="176"/>
      <c r="AB472" s="183"/>
      <c r="AC472" s="183"/>
      <c r="AD472" s="183"/>
      <c r="AE472" s="183"/>
      <c r="AF472" s="183"/>
      <c r="AG472" s="183"/>
      <c r="AH472" s="183"/>
    </row>
    <row r="473" spans="23:34">
      <c r="W473" s="176"/>
      <c r="AB473" s="183"/>
      <c r="AC473" s="183"/>
      <c r="AD473" s="183"/>
      <c r="AE473" s="183"/>
      <c r="AF473" s="183"/>
      <c r="AG473" s="183"/>
      <c r="AH473" s="183"/>
    </row>
    <row r="474" spans="23:34">
      <c r="W474" s="176"/>
      <c r="AB474" s="183"/>
      <c r="AC474" s="183"/>
      <c r="AD474" s="183"/>
      <c r="AE474" s="183"/>
      <c r="AF474" s="183"/>
      <c r="AG474" s="183"/>
      <c r="AH474" s="183"/>
    </row>
    <row r="475" spans="23:34">
      <c r="W475" s="176"/>
      <c r="AB475" s="183"/>
      <c r="AC475" s="183"/>
      <c r="AD475" s="183"/>
      <c r="AE475" s="183"/>
      <c r="AF475" s="183"/>
      <c r="AG475" s="183"/>
      <c r="AH475" s="183"/>
    </row>
    <row r="476" spans="23:34">
      <c r="W476" s="176"/>
      <c r="AB476" s="183"/>
      <c r="AC476" s="183"/>
      <c r="AD476" s="183"/>
      <c r="AE476" s="183"/>
      <c r="AF476" s="183"/>
      <c r="AG476" s="183"/>
      <c r="AH476" s="183"/>
    </row>
    <row r="477" spans="23:34">
      <c r="W477" s="176"/>
      <c r="AB477" s="183"/>
      <c r="AC477" s="183"/>
      <c r="AD477" s="183"/>
      <c r="AE477" s="183"/>
      <c r="AF477" s="183"/>
      <c r="AG477" s="183"/>
      <c r="AH477" s="183"/>
    </row>
    <row r="478" spans="23:34">
      <c r="W478" s="176"/>
      <c r="AB478" s="183"/>
      <c r="AC478" s="183"/>
      <c r="AD478" s="183"/>
      <c r="AE478" s="183"/>
      <c r="AF478" s="183"/>
      <c r="AG478" s="183"/>
      <c r="AH478" s="183"/>
    </row>
    <row r="479" spans="23:34">
      <c r="W479" s="176"/>
      <c r="AB479" s="183"/>
      <c r="AC479" s="183"/>
      <c r="AD479" s="183"/>
      <c r="AE479" s="183"/>
      <c r="AF479" s="183"/>
      <c r="AG479" s="183"/>
      <c r="AH479" s="183"/>
    </row>
    <row r="480" spans="23:34">
      <c r="W480" s="176"/>
      <c r="AB480" s="183"/>
      <c r="AC480" s="183"/>
      <c r="AD480" s="183"/>
      <c r="AE480" s="183"/>
      <c r="AF480" s="183"/>
      <c r="AG480" s="183"/>
      <c r="AH480" s="183"/>
    </row>
    <row r="481" spans="23:34">
      <c r="W481" s="176"/>
      <c r="AB481" s="183"/>
      <c r="AC481" s="183"/>
      <c r="AD481" s="183"/>
      <c r="AE481" s="183"/>
      <c r="AF481" s="183"/>
      <c r="AG481" s="183"/>
      <c r="AH481" s="183"/>
    </row>
    <row r="482" spans="23:34">
      <c r="W482" s="176"/>
      <c r="AB482" s="183"/>
      <c r="AC482" s="183"/>
      <c r="AD482" s="183"/>
      <c r="AE482" s="183"/>
      <c r="AF482" s="183"/>
      <c r="AG482" s="183"/>
      <c r="AH482" s="183"/>
    </row>
    <row r="483" spans="23:34">
      <c r="W483" s="176"/>
      <c r="AB483" s="183"/>
      <c r="AC483" s="183"/>
      <c r="AD483" s="183"/>
      <c r="AE483" s="183"/>
      <c r="AF483" s="183"/>
      <c r="AG483" s="183"/>
      <c r="AH483" s="183"/>
    </row>
    <row r="484" spans="23:34">
      <c r="W484" s="176"/>
      <c r="AB484" s="183"/>
      <c r="AC484" s="183"/>
      <c r="AD484" s="183"/>
      <c r="AE484" s="183"/>
      <c r="AF484" s="183"/>
      <c r="AG484" s="183"/>
      <c r="AH484" s="183"/>
    </row>
    <row r="485" spans="23:34">
      <c r="W485" s="176"/>
      <c r="AB485" s="183"/>
      <c r="AC485" s="183"/>
      <c r="AD485" s="183"/>
      <c r="AE485" s="183"/>
      <c r="AF485" s="183"/>
      <c r="AG485" s="183"/>
      <c r="AH485" s="183"/>
    </row>
    <row r="486" spans="23:34">
      <c r="W486" s="176"/>
      <c r="AB486" s="183"/>
      <c r="AC486" s="183"/>
      <c r="AD486" s="183"/>
      <c r="AE486" s="183"/>
      <c r="AF486" s="183"/>
      <c r="AG486" s="183"/>
      <c r="AH486" s="183"/>
    </row>
    <row r="487" spans="23:34">
      <c r="W487" s="176"/>
      <c r="AB487" s="183"/>
      <c r="AC487" s="183"/>
      <c r="AD487" s="183"/>
      <c r="AE487" s="183"/>
      <c r="AF487" s="183"/>
      <c r="AG487" s="183"/>
      <c r="AH487" s="183"/>
    </row>
    <row r="488" spans="23:34">
      <c r="W488" s="176"/>
      <c r="AB488" s="183"/>
      <c r="AC488" s="183"/>
      <c r="AD488" s="183"/>
      <c r="AE488" s="183"/>
      <c r="AF488" s="183"/>
      <c r="AG488" s="183"/>
      <c r="AH488" s="183"/>
    </row>
    <row r="489" spans="23:34">
      <c r="W489" s="176"/>
      <c r="AB489" s="183"/>
      <c r="AC489" s="183"/>
      <c r="AD489" s="183"/>
      <c r="AE489" s="183"/>
      <c r="AF489" s="183"/>
      <c r="AG489" s="183"/>
      <c r="AH489" s="183"/>
    </row>
    <row r="490" spans="23:34">
      <c r="W490" s="176"/>
      <c r="AB490" s="183"/>
      <c r="AC490" s="183"/>
      <c r="AD490" s="183"/>
      <c r="AE490" s="183"/>
      <c r="AF490" s="183"/>
      <c r="AG490" s="183"/>
      <c r="AH490" s="183"/>
    </row>
    <row r="491" spans="23:34">
      <c r="W491" s="176"/>
      <c r="AB491" s="183"/>
      <c r="AC491" s="183"/>
      <c r="AD491" s="183"/>
      <c r="AE491" s="183"/>
      <c r="AF491" s="183"/>
      <c r="AG491" s="183"/>
      <c r="AH491" s="183"/>
    </row>
    <row r="492" spans="23:34">
      <c r="W492" s="176"/>
      <c r="AB492" s="183"/>
      <c r="AC492" s="183"/>
      <c r="AD492" s="183"/>
      <c r="AE492" s="183"/>
      <c r="AF492" s="183"/>
      <c r="AG492" s="183"/>
      <c r="AH492" s="183"/>
    </row>
    <row r="493" spans="23:34">
      <c r="W493" s="176"/>
      <c r="AB493" s="183"/>
      <c r="AC493" s="183"/>
      <c r="AD493" s="183"/>
      <c r="AE493" s="183"/>
      <c r="AF493" s="183"/>
      <c r="AG493" s="183"/>
      <c r="AH493" s="183"/>
    </row>
    <row r="494" spans="23:34">
      <c r="W494" s="176"/>
      <c r="AB494" s="183"/>
      <c r="AC494" s="183"/>
      <c r="AD494" s="183"/>
      <c r="AE494" s="183"/>
      <c r="AF494" s="183"/>
      <c r="AG494" s="183"/>
      <c r="AH494" s="183"/>
    </row>
    <row r="495" spans="23:34">
      <c r="W495" s="176"/>
      <c r="AB495" s="183"/>
      <c r="AC495" s="183"/>
      <c r="AD495" s="183"/>
      <c r="AE495" s="183"/>
      <c r="AF495" s="183"/>
      <c r="AG495" s="183"/>
      <c r="AH495" s="183"/>
    </row>
    <row r="496" spans="23:34">
      <c r="W496" s="176"/>
      <c r="AB496" s="183"/>
      <c r="AC496" s="183"/>
      <c r="AD496" s="183"/>
      <c r="AE496" s="183"/>
      <c r="AF496" s="183"/>
      <c r="AG496" s="183"/>
      <c r="AH496" s="183"/>
    </row>
    <row r="497" spans="23:34">
      <c r="W497" s="176"/>
      <c r="AB497" s="183"/>
      <c r="AC497" s="183"/>
      <c r="AD497" s="183"/>
      <c r="AE497" s="183"/>
      <c r="AF497" s="183"/>
      <c r="AG497" s="183"/>
      <c r="AH497" s="183"/>
    </row>
    <row r="498" spans="23:34">
      <c r="W498" s="176"/>
      <c r="AB498" s="183"/>
      <c r="AC498" s="183"/>
      <c r="AD498" s="183"/>
      <c r="AE498" s="183"/>
      <c r="AF498" s="183"/>
      <c r="AG498" s="183"/>
      <c r="AH498" s="183"/>
    </row>
    <row r="499" spans="23:34">
      <c r="W499" s="176"/>
      <c r="AB499" s="183"/>
      <c r="AC499" s="183"/>
      <c r="AD499" s="183"/>
      <c r="AE499" s="183"/>
      <c r="AF499" s="183"/>
      <c r="AG499" s="183"/>
      <c r="AH499" s="183"/>
    </row>
    <row r="500" spans="23:34">
      <c r="W500" s="176"/>
      <c r="AB500" s="183"/>
      <c r="AC500" s="183"/>
      <c r="AD500" s="183"/>
      <c r="AE500" s="183"/>
      <c r="AF500" s="183"/>
      <c r="AG500" s="183"/>
      <c r="AH500" s="183"/>
    </row>
    <row r="501" spans="23:34">
      <c r="W501" s="176"/>
      <c r="AB501" s="183"/>
      <c r="AC501" s="183"/>
      <c r="AD501" s="183"/>
      <c r="AE501" s="183"/>
      <c r="AF501" s="183"/>
      <c r="AG501" s="183"/>
      <c r="AH501" s="183"/>
    </row>
    <row r="502" spans="23:34">
      <c r="W502" s="176"/>
      <c r="AB502" s="183"/>
      <c r="AC502" s="183"/>
      <c r="AD502" s="183"/>
      <c r="AE502" s="183"/>
      <c r="AF502" s="183"/>
      <c r="AG502" s="183"/>
      <c r="AH502" s="183"/>
    </row>
    <row r="503" spans="23:34">
      <c r="W503" s="176"/>
      <c r="AB503" s="183"/>
      <c r="AC503" s="183"/>
      <c r="AD503" s="183"/>
      <c r="AE503" s="183"/>
      <c r="AF503" s="183"/>
      <c r="AG503" s="183"/>
      <c r="AH503" s="183"/>
    </row>
    <row r="504" spans="23:34">
      <c r="W504" s="176"/>
      <c r="AB504" s="183"/>
      <c r="AC504" s="183"/>
      <c r="AD504" s="183"/>
      <c r="AE504" s="183"/>
      <c r="AF504" s="183"/>
      <c r="AG504" s="183"/>
      <c r="AH504" s="183"/>
    </row>
    <row r="505" spans="23:34">
      <c r="W505" s="176"/>
      <c r="AB505" s="183"/>
      <c r="AC505" s="183"/>
      <c r="AD505" s="183"/>
      <c r="AE505" s="183"/>
      <c r="AF505" s="183"/>
      <c r="AG505" s="183"/>
      <c r="AH505" s="183"/>
    </row>
    <row r="506" spans="23:34">
      <c r="W506" s="176"/>
      <c r="AB506" s="183"/>
      <c r="AC506" s="183"/>
      <c r="AD506" s="183"/>
      <c r="AE506" s="183"/>
      <c r="AF506" s="183"/>
      <c r="AG506" s="183"/>
      <c r="AH506" s="183"/>
    </row>
    <row r="507" spans="23:34">
      <c r="W507" s="176"/>
      <c r="AB507" s="183"/>
      <c r="AC507" s="183"/>
      <c r="AD507" s="183"/>
      <c r="AE507" s="183"/>
      <c r="AF507" s="183"/>
      <c r="AG507" s="183"/>
      <c r="AH507" s="183"/>
    </row>
    <row r="508" spans="23:34">
      <c r="W508" s="176"/>
      <c r="AB508" s="183"/>
      <c r="AC508" s="183"/>
      <c r="AD508" s="183"/>
      <c r="AE508" s="183"/>
      <c r="AF508" s="183"/>
      <c r="AG508" s="183"/>
      <c r="AH508" s="183"/>
    </row>
    <row r="509" spans="23:34">
      <c r="W509" s="176"/>
      <c r="AB509" s="183"/>
      <c r="AC509" s="183"/>
      <c r="AD509" s="183"/>
      <c r="AE509" s="183"/>
      <c r="AF509" s="183"/>
      <c r="AG509" s="183"/>
      <c r="AH509" s="183"/>
    </row>
    <row r="510" spans="23:34">
      <c r="W510" s="176"/>
      <c r="AB510" s="183"/>
      <c r="AC510" s="183"/>
      <c r="AD510" s="183"/>
      <c r="AE510" s="183"/>
      <c r="AF510" s="183"/>
      <c r="AG510" s="183"/>
      <c r="AH510" s="183"/>
    </row>
    <row r="511" spans="23:34">
      <c r="W511" s="176"/>
      <c r="AB511" s="183"/>
      <c r="AC511" s="183"/>
      <c r="AD511" s="183"/>
      <c r="AE511" s="183"/>
      <c r="AF511" s="183"/>
      <c r="AG511" s="183"/>
      <c r="AH511" s="183"/>
    </row>
    <row r="512" spans="23:34">
      <c r="W512" s="176"/>
      <c r="AB512" s="183"/>
      <c r="AC512" s="183"/>
      <c r="AD512" s="183"/>
      <c r="AE512" s="183"/>
      <c r="AF512" s="183"/>
      <c r="AG512" s="183"/>
      <c r="AH512" s="183"/>
    </row>
    <row r="513" spans="23:34">
      <c r="W513" s="176"/>
      <c r="AB513" s="183"/>
      <c r="AC513" s="183"/>
      <c r="AD513" s="183"/>
      <c r="AE513" s="183"/>
      <c r="AF513" s="183"/>
      <c r="AG513" s="183"/>
      <c r="AH513" s="183"/>
    </row>
    <row r="514" spans="23:34">
      <c r="W514" s="176"/>
      <c r="AB514" s="183"/>
      <c r="AC514" s="183"/>
      <c r="AD514" s="183"/>
      <c r="AE514" s="183"/>
      <c r="AF514" s="183"/>
      <c r="AG514" s="183"/>
      <c r="AH514" s="183"/>
    </row>
    <row r="515" spans="23:34">
      <c r="W515" s="176"/>
      <c r="AB515" s="183"/>
      <c r="AC515" s="183"/>
      <c r="AD515" s="183"/>
      <c r="AE515" s="183"/>
      <c r="AF515" s="183"/>
      <c r="AG515" s="183"/>
      <c r="AH515" s="183"/>
    </row>
    <row r="516" spans="23:34">
      <c r="W516" s="176"/>
      <c r="AB516" s="183"/>
      <c r="AC516" s="183"/>
      <c r="AD516" s="183"/>
      <c r="AE516" s="183"/>
      <c r="AF516" s="183"/>
      <c r="AG516" s="183"/>
      <c r="AH516" s="183"/>
    </row>
    <row r="517" spans="23:34">
      <c r="W517" s="176"/>
      <c r="AB517" s="183"/>
      <c r="AC517" s="183"/>
      <c r="AD517" s="183"/>
      <c r="AE517" s="183"/>
      <c r="AF517" s="183"/>
      <c r="AG517" s="183"/>
      <c r="AH517" s="183"/>
    </row>
    <row r="518" spans="23:34">
      <c r="W518" s="176"/>
      <c r="AB518" s="183"/>
      <c r="AC518" s="183"/>
      <c r="AD518" s="183"/>
      <c r="AE518" s="183"/>
      <c r="AF518" s="183"/>
      <c r="AG518" s="183"/>
      <c r="AH518" s="183"/>
    </row>
    <row r="519" spans="23:34">
      <c r="W519" s="176"/>
      <c r="AB519" s="183"/>
      <c r="AC519" s="183"/>
      <c r="AD519" s="183"/>
      <c r="AE519" s="183"/>
      <c r="AF519" s="183"/>
      <c r="AG519" s="183"/>
      <c r="AH519" s="183"/>
    </row>
    <row r="520" spans="23:34">
      <c r="W520" s="176"/>
      <c r="AB520" s="183"/>
      <c r="AC520" s="183"/>
      <c r="AD520" s="183"/>
      <c r="AE520" s="183"/>
      <c r="AF520" s="183"/>
      <c r="AG520" s="183"/>
      <c r="AH520" s="183"/>
    </row>
    <row r="521" spans="23:34">
      <c r="W521" s="176"/>
      <c r="AB521" s="183"/>
      <c r="AC521" s="183"/>
      <c r="AD521" s="183"/>
      <c r="AE521" s="183"/>
      <c r="AF521" s="183"/>
      <c r="AG521" s="183"/>
      <c r="AH521" s="183"/>
    </row>
    <row r="522" spans="23:34">
      <c r="W522" s="176"/>
      <c r="AB522" s="183"/>
      <c r="AC522" s="183"/>
      <c r="AD522" s="183"/>
      <c r="AE522" s="183"/>
      <c r="AF522" s="183"/>
      <c r="AG522" s="183"/>
      <c r="AH522" s="183"/>
    </row>
    <row r="523" spans="23:34">
      <c r="W523" s="176"/>
      <c r="AB523" s="183"/>
      <c r="AC523" s="183"/>
      <c r="AD523" s="183"/>
      <c r="AE523" s="183"/>
      <c r="AF523" s="183"/>
      <c r="AG523" s="183"/>
      <c r="AH523" s="183"/>
    </row>
    <row r="524" spans="23:34">
      <c r="W524" s="176"/>
      <c r="AB524" s="183"/>
      <c r="AC524" s="183"/>
      <c r="AD524" s="183"/>
      <c r="AE524" s="183"/>
      <c r="AF524" s="183"/>
      <c r="AG524" s="183"/>
      <c r="AH524" s="183"/>
    </row>
    <row r="525" spans="23:34">
      <c r="W525" s="176"/>
      <c r="AB525" s="183"/>
      <c r="AC525" s="183"/>
      <c r="AD525" s="183"/>
      <c r="AE525" s="183"/>
      <c r="AF525" s="183"/>
      <c r="AG525" s="183"/>
      <c r="AH525" s="183"/>
    </row>
    <row r="526" spans="23:34">
      <c r="W526" s="176"/>
      <c r="AB526" s="183"/>
      <c r="AC526" s="183"/>
      <c r="AD526" s="183"/>
      <c r="AE526" s="183"/>
      <c r="AF526" s="183"/>
      <c r="AG526" s="183"/>
      <c r="AH526" s="183"/>
    </row>
    <row r="527" spans="23:34">
      <c r="W527" s="176"/>
      <c r="AB527" s="183"/>
      <c r="AC527" s="183"/>
      <c r="AD527" s="183"/>
      <c r="AE527" s="183"/>
      <c r="AF527" s="183"/>
      <c r="AG527" s="183"/>
      <c r="AH527" s="183"/>
    </row>
    <row r="528" spans="23:34">
      <c r="W528" s="176"/>
      <c r="AB528" s="183"/>
      <c r="AC528" s="183"/>
      <c r="AD528" s="183"/>
      <c r="AE528" s="183"/>
      <c r="AF528" s="183"/>
      <c r="AG528" s="183"/>
      <c r="AH528" s="183"/>
    </row>
    <row r="529" spans="23:34">
      <c r="W529" s="176"/>
      <c r="AB529" s="183"/>
      <c r="AC529" s="183"/>
      <c r="AD529" s="183"/>
      <c r="AE529" s="183"/>
      <c r="AF529" s="183"/>
      <c r="AG529" s="183"/>
      <c r="AH529" s="183"/>
    </row>
    <row r="530" spans="23:34">
      <c r="W530" s="176"/>
      <c r="AB530" s="183"/>
      <c r="AC530" s="183"/>
      <c r="AD530" s="183"/>
      <c r="AE530" s="183"/>
      <c r="AF530" s="183"/>
      <c r="AG530" s="183"/>
      <c r="AH530" s="183"/>
    </row>
    <row r="531" spans="23:34">
      <c r="W531" s="176"/>
      <c r="AB531" s="183"/>
      <c r="AC531" s="183"/>
      <c r="AD531" s="183"/>
      <c r="AE531" s="183"/>
      <c r="AF531" s="183"/>
      <c r="AG531" s="183"/>
      <c r="AH531" s="183"/>
    </row>
    <row r="532" spans="23:34">
      <c r="W532" s="176"/>
      <c r="AB532" s="183"/>
      <c r="AC532" s="183"/>
      <c r="AD532" s="183"/>
      <c r="AE532" s="183"/>
      <c r="AF532" s="183"/>
      <c r="AG532" s="183"/>
      <c r="AH532" s="183"/>
    </row>
    <row r="533" spans="23:34">
      <c r="W533" s="176"/>
      <c r="AB533" s="183"/>
      <c r="AC533" s="183"/>
      <c r="AD533" s="183"/>
      <c r="AE533" s="183"/>
      <c r="AF533" s="183"/>
      <c r="AG533" s="183"/>
      <c r="AH533" s="183"/>
    </row>
    <row r="534" spans="23:34">
      <c r="W534" s="176"/>
      <c r="AB534" s="183"/>
      <c r="AC534" s="183"/>
      <c r="AD534" s="183"/>
      <c r="AE534" s="183"/>
      <c r="AF534" s="183"/>
      <c r="AG534" s="183"/>
      <c r="AH534" s="183"/>
    </row>
    <row r="535" spans="23:34">
      <c r="W535" s="176"/>
      <c r="AB535" s="183"/>
      <c r="AC535" s="183"/>
      <c r="AD535" s="183"/>
      <c r="AE535" s="183"/>
      <c r="AF535" s="183"/>
      <c r="AG535" s="183"/>
      <c r="AH535" s="183"/>
    </row>
    <row r="536" spans="23:34">
      <c r="W536" s="176"/>
      <c r="AB536" s="183"/>
      <c r="AC536" s="183"/>
      <c r="AD536" s="183"/>
      <c r="AE536" s="183"/>
      <c r="AF536" s="183"/>
      <c r="AG536" s="183"/>
      <c r="AH536" s="183"/>
    </row>
    <row r="537" spans="23:34">
      <c r="W537" s="176"/>
      <c r="AB537" s="183"/>
      <c r="AC537" s="183"/>
      <c r="AD537" s="183"/>
      <c r="AE537" s="183"/>
      <c r="AF537" s="183"/>
      <c r="AG537" s="183"/>
      <c r="AH537" s="183"/>
    </row>
    <row r="538" spans="23:34">
      <c r="W538" s="176"/>
      <c r="AB538" s="183"/>
      <c r="AC538" s="183"/>
      <c r="AD538" s="183"/>
      <c r="AE538" s="183"/>
      <c r="AF538" s="183"/>
      <c r="AG538" s="183"/>
      <c r="AH538" s="183"/>
    </row>
    <row r="539" spans="23:34">
      <c r="W539" s="176"/>
      <c r="AB539" s="183"/>
      <c r="AC539" s="183"/>
      <c r="AD539" s="183"/>
      <c r="AE539" s="183"/>
      <c r="AF539" s="183"/>
      <c r="AG539" s="183"/>
      <c r="AH539" s="183"/>
    </row>
    <row r="540" spans="23:34">
      <c r="W540" s="176"/>
      <c r="AB540" s="183"/>
      <c r="AC540" s="183"/>
      <c r="AD540" s="183"/>
      <c r="AE540" s="183"/>
      <c r="AF540" s="183"/>
      <c r="AG540" s="183"/>
      <c r="AH540" s="183"/>
    </row>
    <row r="541" spans="23:34">
      <c r="W541" s="176"/>
      <c r="AB541" s="183"/>
      <c r="AC541" s="183"/>
      <c r="AD541" s="183"/>
      <c r="AE541" s="183"/>
      <c r="AF541" s="183"/>
      <c r="AG541" s="183"/>
      <c r="AH541" s="183"/>
    </row>
    <row r="542" spans="23:34">
      <c r="W542" s="176"/>
      <c r="AB542" s="183"/>
      <c r="AC542" s="183"/>
      <c r="AD542" s="183"/>
      <c r="AE542" s="183"/>
      <c r="AF542" s="183"/>
      <c r="AG542" s="183"/>
      <c r="AH542" s="183"/>
    </row>
    <row r="543" spans="23:34">
      <c r="W543" s="176"/>
      <c r="AB543" s="183"/>
      <c r="AC543" s="183"/>
      <c r="AD543" s="183"/>
      <c r="AE543" s="183"/>
      <c r="AF543" s="183"/>
      <c r="AG543" s="183"/>
      <c r="AH543" s="183"/>
    </row>
    <row r="544" spans="23:34">
      <c r="W544" s="176"/>
      <c r="AB544" s="183"/>
      <c r="AC544" s="183"/>
      <c r="AD544" s="183"/>
      <c r="AE544" s="183"/>
      <c r="AF544" s="183"/>
      <c r="AG544" s="183"/>
      <c r="AH544" s="183"/>
    </row>
    <row r="545" spans="23:34">
      <c r="W545" s="176"/>
      <c r="AB545" s="183"/>
      <c r="AC545" s="183"/>
      <c r="AD545" s="183"/>
      <c r="AE545" s="183"/>
      <c r="AF545" s="183"/>
      <c r="AG545" s="183"/>
      <c r="AH545" s="183"/>
    </row>
    <row r="546" spans="23:34">
      <c r="W546" s="176"/>
      <c r="AB546" s="183"/>
      <c r="AC546" s="183"/>
      <c r="AD546" s="183"/>
      <c r="AE546" s="183"/>
      <c r="AF546" s="183"/>
      <c r="AG546" s="183"/>
      <c r="AH546" s="183"/>
    </row>
    <row r="547" spans="23:34">
      <c r="W547" s="176"/>
      <c r="AB547" s="183"/>
      <c r="AC547" s="183"/>
      <c r="AD547" s="183"/>
      <c r="AE547" s="183"/>
      <c r="AF547" s="183"/>
      <c r="AG547" s="183"/>
      <c r="AH547" s="183"/>
    </row>
    <row r="548" spans="23:34">
      <c r="W548" s="176"/>
      <c r="AB548" s="183"/>
      <c r="AC548" s="183"/>
      <c r="AD548" s="183"/>
      <c r="AE548" s="183"/>
      <c r="AF548" s="183"/>
      <c r="AG548" s="183"/>
      <c r="AH548" s="183"/>
    </row>
    <row r="549" spans="23:34">
      <c r="W549" s="176"/>
      <c r="AB549" s="183"/>
      <c r="AC549" s="183"/>
      <c r="AD549" s="183"/>
      <c r="AE549" s="183"/>
      <c r="AF549" s="183"/>
      <c r="AG549" s="183"/>
      <c r="AH549" s="183"/>
    </row>
    <row r="550" spans="23:34">
      <c r="W550" s="176"/>
      <c r="AB550" s="183"/>
      <c r="AC550" s="183"/>
      <c r="AD550" s="183"/>
      <c r="AE550" s="183"/>
      <c r="AF550" s="183"/>
      <c r="AG550" s="183"/>
      <c r="AH550" s="183"/>
    </row>
    <row r="551" spans="23:34">
      <c r="W551" s="176"/>
      <c r="AB551" s="183"/>
      <c r="AC551" s="183"/>
      <c r="AD551" s="183"/>
      <c r="AE551" s="183"/>
      <c r="AF551" s="183"/>
      <c r="AG551" s="183"/>
      <c r="AH551" s="183"/>
    </row>
    <row r="552" spans="23:34">
      <c r="W552" s="176"/>
      <c r="AB552" s="183"/>
      <c r="AC552" s="183"/>
      <c r="AD552" s="183"/>
      <c r="AE552" s="183"/>
      <c r="AF552" s="183"/>
      <c r="AG552" s="183"/>
      <c r="AH552" s="183"/>
    </row>
    <row r="553" spans="23:34">
      <c r="W553" s="176"/>
      <c r="AB553" s="183"/>
      <c r="AC553" s="183"/>
      <c r="AD553" s="183"/>
      <c r="AE553" s="183"/>
      <c r="AF553" s="183"/>
      <c r="AG553" s="183"/>
      <c r="AH553" s="183"/>
    </row>
    <row r="554" spans="23:34">
      <c r="W554" s="176"/>
      <c r="AB554" s="183"/>
      <c r="AC554" s="183"/>
      <c r="AD554" s="183"/>
      <c r="AE554" s="183"/>
      <c r="AF554" s="183"/>
      <c r="AG554" s="183"/>
      <c r="AH554" s="183"/>
    </row>
    <row r="555" spans="23:34">
      <c r="W555" s="176"/>
      <c r="AB555" s="183"/>
      <c r="AC555" s="183"/>
      <c r="AD555" s="183"/>
      <c r="AE555" s="183"/>
      <c r="AF555" s="183"/>
      <c r="AG555" s="183"/>
      <c r="AH555" s="183"/>
    </row>
    <row r="556" spans="23:34">
      <c r="W556" s="176"/>
      <c r="AB556" s="183"/>
      <c r="AC556" s="183"/>
      <c r="AD556" s="183"/>
      <c r="AE556" s="183"/>
      <c r="AF556" s="183"/>
      <c r="AG556" s="183"/>
      <c r="AH556" s="183"/>
    </row>
    <row r="557" spans="23:34">
      <c r="W557" s="176"/>
      <c r="AB557" s="183"/>
      <c r="AC557" s="183"/>
      <c r="AD557" s="183"/>
      <c r="AE557" s="183"/>
      <c r="AF557" s="183"/>
      <c r="AG557" s="183"/>
      <c r="AH557" s="183"/>
    </row>
    <row r="558" spans="23:34">
      <c r="W558" s="176"/>
      <c r="AB558" s="183"/>
      <c r="AC558" s="183"/>
      <c r="AD558" s="183"/>
      <c r="AE558" s="183"/>
      <c r="AF558" s="183"/>
      <c r="AG558" s="183"/>
      <c r="AH558" s="183"/>
    </row>
    <row r="559" spans="23:34">
      <c r="W559" s="176"/>
      <c r="AB559" s="183"/>
      <c r="AC559" s="183"/>
      <c r="AD559" s="183"/>
      <c r="AE559" s="183"/>
      <c r="AF559" s="183"/>
      <c r="AG559" s="183"/>
      <c r="AH559" s="183"/>
    </row>
    <row r="560" spans="23:34">
      <c r="W560" s="176"/>
      <c r="AB560" s="183"/>
      <c r="AC560" s="183"/>
      <c r="AD560" s="183"/>
      <c r="AE560" s="183"/>
      <c r="AF560" s="183"/>
      <c r="AG560" s="183"/>
      <c r="AH560" s="183"/>
    </row>
    <row r="561" spans="23:34">
      <c r="W561" s="176"/>
      <c r="AB561" s="183"/>
      <c r="AC561" s="183"/>
      <c r="AD561" s="183"/>
      <c r="AE561" s="183"/>
      <c r="AF561" s="183"/>
      <c r="AG561" s="183"/>
      <c r="AH561" s="183"/>
    </row>
    <row r="562" spans="23:34">
      <c r="W562" s="176"/>
      <c r="AB562" s="183"/>
      <c r="AC562" s="183"/>
      <c r="AD562" s="183"/>
      <c r="AE562" s="183"/>
      <c r="AF562" s="183"/>
      <c r="AG562" s="183"/>
      <c r="AH562" s="183"/>
    </row>
    <row r="563" spans="23:34">
      <c r="W563" s="176"/>
      <c r="AB563" s="183"/>
      <c r="AC563" s="183"/>
      <c r="AD563" s="183"/>
      <c r="AE563" s="183"/>
      <c r="AF563" s="183"/>
      <c r="AG563" s="183"/>
      <c r="AH563" s="183"/>
    </row>
    <row r="564" spans="23:34">
      <c r="W564" s="176"/>
      <c r="AB564" s="183"/>
      <c r="AC564" s="183"/>
      <c r="AD564" s="183"/>
      <c r="AE564" s="183"/>
      <c r="AF564" s="183"/>
      <c r="AG564" s="183"/>
      <c r="AH564" s="183"/>
    </row>
    <row r="565" spans="23:34">
      <c r="W565" s="176"/>
      <c r="AB565" s="183"/>
      <c r="AC565" s="183"/>
      <c r="AD565" s="183"/>
      <c r="AE565" s="183"/>
      <c r="AF565" s="183"/>
      <c r="AG565" s="183"/>
      <c r="AH565" s="183"/>
    </row>
    <row r="566" spans="23:34">
      <c r="W566" s="176"/>
      <c r="AB566" s="183"/>
      <c r="AC566" s="183"/>
      <c r="AD566" s="183"/>
      <c r="AE566" s="183"/>
      <c r="AF566" s="183"/>
      <c r="AG566" s="183"/>
      <c r="AH566" s="183"/>
    </row>
    <row r="567" spans="23:34">
      <c r="W567" s="176"/>
      <c r="AB567" s="183"/>
      <c r="AC567" s="183"/>
      <c r="AD567" s="183"/>
      <c r="AE567" s="183"/>
      <c r="AF567" s="183"/>
      <c r="AG567" s="183"/>
      <c r="AH567" s="183"/>
    </row>
    <row r="568" spans="23:34">
      <c r="W568" s="176"/>
      <c r="AB568" s="183"/>
      <c r="AC568" s="183"/>
      <c r="AD568" s="183"/>
      <c r="AE568" s="183"/>
      <c r="AF568" s="183"/>
      <c r="AG568" s="183"/>
      <c r="AH568" s="183"/>
    </row>
    <row r="569" spans="23:34">
      <c r="W569" s="176"/>
      <c r="AB569" s="183"/>
      <c r="AC569" s="183"/>
      <c r="AD569" s="183"/>
      <c r="AE569" s="183"/>
      <c r="AF569" s="183"/>
      <c r="AG569" s="183"/>
      <c r="AH569" s="183"/>
    </row>
    <row r="570" spans="23:34">
      <c r="W570" s="176"/>
      <c r="AB570" s="183"/>
      <c r="AC570" s="183"/>
      <c r="AD570" s="183"/>
      <c r="AE570" s="183"/>
      <c r="AF570" s="183"/>
      <c r="AG570" s="183"/>
      <c r="AH570" s="183"/>
    </row>
    <row r="571" spans="23:34">
      <c r="W571" s="176"/>
      <c r="AB571" s="183"/>
      <c r="AC571" s="183"/>
      <c r="AD571" s="183"/>
      <c r="AE571" s="183"/>
      <c r="AF571" s="183"/>
      <c r="AG571" s="183"/>
      <c r="AH571" s="183"/>
    </row>
    <row r="572" spans="23:34">
      <c r="W572" s="176"/>
      <c r="AB572" s="183"/>
      <c r="AC572" s="183"/>
      <c r="AD572" s="183"/>
      <c r="AE572" s="183"/>
      <c r="AF572" s="183"/>
      <c r="AG572" s="183"/>
      <c r="AH572" s="183"/>
    </row>
    <row r="573" spans="23:34">
      <c r="W573" s="176"/>
      <c r="AB573" s="183"/>
      <c r="AC573" s="183"/>
      <c r="AD573" s="183"/>
      <c r="AE573" s="183"/>
      <c r="AF573" s="183"/>
      <c r="AG573" s="183"/>
      <c r="AH573" s="183"/>
    </row>
    <row r="574" spans="23:34">
      <c r="W574" s="176"/>
      <c r="AB574" s="183"/>
      <c r="AC574" s="183"/>
      <c r="AD574" s="183"/>
      <c r="AE574" s="183"/>
      <c r="AF574" s="183"/>
      <c r="AG574" s="183"/>
      <c r="AH574" s="183"/>
    </row>
    <row r="575" spans="23:34">
      <c r="W575" s="176"/>
      <c r="AB575" s="183"/>
      <c r="AC575" s="183"/>
      <c r="AD575" s="183"/>
      <c r="AE575" s="183"/>
      <c r="AF575" s="183"/>
      <c r="AG575" s="183"/>
      <c r="AH575" s="183"/>
    </row>
    <row r="576" spans="23:34">
      <c r="W576" s="176"/>
      <c r="AB576" s="183"/>
      <c r="AC576" s="183"/>
      <c r="AD576" s="183"/>
      <c r="AE576" s="183"/>
      <c r="AF576" s="183"/>
      <c r="AG576" s="183"/>
      <c r="AH576" s="183"/>
    </row>
    <row r="577" spans="23:34">
      <c r="W577" s="176"/>
      <c r="AB577" s="183"/>
      <c r="AC577" s="183"/>
      <c r="AD577" s="183"/>
      <c r="AE577" s="183"/>
      <c r="AF577" s="183"/>
      <c r="AG577" s="183"/>
      <c r="AH577" s="183"/>
    </row>
    <row r="578" spans="23:34">
      <c r="W578" s="176"/>
      <c r="AB578" s="183"/>
      <c r="AC578" s="183"/>
      <c r="AD578" s="183"/>
      <c r="AE578" s="183"/>
      <c r="AF578" s="183"/>
      <c r="AG578" s="183"/>
      <c r="AH578" s="183"/>
    </row>
    <row r="579" spans="23:34">
      <c r="W579" s="176"/>
      <c r="AB579" s="183"/>
      <c r="AC579" s="183"/>
      <c r="AD579" s="183"/>
      <c r="AE579" s="183"/>
      <c r="AF579" s="183"/>
      <c r="AG579" s="183"/>
      <c r="AH579" s="183"/>
    </row>
    <row r="580" spans="23:34">
      <c r="W580" s="176"/>
      <c r="AB580" s="183"/>
      <c r="AC580" s="183"/>
      <c r="AD580" s="183"/>
      <c r="AE580" s="183"/>
      <c r="AF580" s="183"/>
      <c r="AG580" s="183"/>
      <c r="AH580" s="183"/>
    </row>
    <row r="581" spans="23:34">
      <c r="W581" s="176"/>
      <c r="AB581" s="183"/>
      <c r="AC581" s="183"/>
      <c r="AD581" s="183"/>
      <c r="AE581" s="183"/>
      <c r="AF581" s="183"/>
      <c r="AG581" s="183"/>
      <c r="AH581" s="183"/>
    </row>
    <row r="582" spans="23:34">
      <c r="W582" s="176"/>
      <c r="AB582" s="183"/>
      <c r="AC582" s="183"/>
      <c r="AD582" s="183"/>
      <c r="AE582" s="183"/>
      <c r="AF582" s="183"/>
      <c r="AG582" s="183"/>
      <c r="AH582" s="183"/>
    </row>
    <row r="583" spans="23:34">
      <c r="W583" s="176"/>
      <c r="AB583" s="183"/>
      <c r="AC583" s="183"/>
      <c r="AD583" s="183"/>
      <c r="AE583" s="183"/>
      <c r="AF583" s="183"/>
      <c r="AG583" s="183"/>
      <c r="AH583" s="183"/>
    </row>
    <row r="584" spans="23:34">
      <c r="W584" s="176"/>
      <c r="AB584" s="183"/>
      <c r="AC584" s="183"/>
      <c r="AD584" s="183"/>
      <c r="AE584" s="183"/>
      <c r="AF584" s="183"/>
      <c r="AG584" s="183"/>
      <c r="AH584" s="183"/>
    </row>
    <row r="585" spans="23:34">
      <c r="W585" s="176"/>
      <c r="AB585" s="183"/>
      <c r="AC585" s="183"/>
      <c r="AD585" s="183"/>
      <c r="AE585" s="183"/>
      <c r="AF585" s="183"/>
      <c r="AG585" s="183"/>
      <c r="AH585" s="183"/>
    </row>
    <row r="586" spans="23:34">
      <c r="W586" s="176"/>
      <c r="AB586" s="183"/>
      <c r="AC586" s="183"/>
      <c r="AD586" s="183"/>
      <c r="AE586" s="183"/>
      <c r="AF586" s="183"/>
      <c r="AG586" s="183"/>
      <c r="AH586" s="183"/>
    </row>
    <row r="587" spans="23:34">
      <c r="W587" s="176"/>
      <c r="AB587" s="183"/>
      <c r="AC587" s="183"/>
      <c r="AD587" s="183"/>
      <c r="AE587" s="183"/>
      <c r="AF587" s="183"/>
      <c r="AG587" s="183"/>
      <c r="AH587" s="183"/>
    </row>
    <row r="588" spans="23:34">
      <c r="W588" s="176"/>
      <c r="AB588" s="183"/>
      <c r="AC588" s="183"/>
      <c r="AD588" s="183"/>
      <c r="AE588" s="183"/>
      <c r="AF588" s="183"/>
      <c r="AG588" s="183"/>
      <c r="AH588" s="183"/>
    </row>
    <row r="589" spans="23:34">
      <c r="W589" s="176"/>
      <c r="AB589" s="183"/>
      <c r="AC589" s="183"/>
      <c r="AD589" s="183"/>
      <c r="AE589" s="183"/>
      <c r="AF589" s="183"/>
      <c r="AG589" s="183"/>
      <c r="AH589" s="183"/>
    </row>
    <row r="590" spans="23:34">
      <c r="W590" s="176"/>
      <c r="AB590" s="183"/>
      <c r="AC590" s="183"/>
      <c r="AD590" s="183"/>
      <c r="AE590" s="183"/>
      <c r="AF590" s="183"/>
      <c r="AG590" s="183"/>
      <c r="AH590" s="183"/>
    </row>
    <row r="591" spans="23:34">
      <c r="W591" s="176"/>
      <c r="AB591" s="183"/>
      <c r="AC591" s="183"/>
      <c r="AD591" s="183"/>
      <c r="AE591" s="183"/>
      <c r="AF591" s="183"/>
      <c r="AG591" s="183"/>
      <c r="AH591" s="183"/>
    </row>
    <row r="592" spans="23:34">
      <c r="W592" s="176"/>
      <c r="AB592" s="183"/>
      <c r="AC592" s="183"/>
      <c r="AD592" s="183"/>
      <c r="AE592" s="183"/>
      <c r="AF592" s="183"/>
      <c r="AG592" s="183"/>
      <c r="AH592" s="183"/>
    </row>
    <row r="593" spans="23:34">
      <c r="W593" s="176"/>
      <c r="AB593" s="183"/>
      <c r="AC593" s="183"/>
      <c r="AD593" s="183"/>
      <c r="AE593" s="183"/>
      <c r="AF593" s="183"/>
      <c r="AG593" s="183"/>
      <c r="AH593" s="183"/>
    </row>
    <row r="594" spans="23:34">
      <c r="W594" s="176"/>
      <c r="AB594" s="183"/>
      <c r="AC594" s="183"/>
      <c r="AD594" s="183"/>
      <c r="AE594" s="183"/>
      <c r="AF594" s="183"/>
      <c r="AG594" s="183"/>
      <c r="AH594" s="183"/>
    </row>
    <row r="595" spans="23:34">
      <c r="W595" s="176"/>
      <c r="AB595" s="183"/>
      <c r="AC595" s="183"/>
      <c r="AD595" s="183"/>
      <c r="AE595" s="183"/>
      <c r="AF595" s="183"/>
      <c r="AG595" s="183"/>
      <c r="AH595" s="183"/>
    </row>
    <row r="596" spans="23:34">
      <c r="W596" s="176"/>
      <c r="AB596" s="183"/>
      <c r="AC596" s="183"/>
      <c r="AD596" s="183"/>
      <c r="AE596" s="183"/>
      <c r="AF596" s="183"/>
      <c r="AG596" s="183"/>
      <c r="AH596" s="183"/>
    </row>
    <row r="597" spans="23:34">
      <c r="W597" s="176"/>
      <c r="AB597" s="183"/>
      <c r="AC597" s="183"/>
      <c r="AD597" s="183"/>
      <c r="AE597" s="183"/>
      <c r="AF597" s="183"/>
      <c r="AG597" s="183"/>
      <c r="AH597" s="183"/>
    </row>
    <row r="598" spans="23:34">
      <c r="W598" s="176"/>
      <c r="AB598" s="183"/>
      <c r="AC598" s="183"/>
      <c r="AD598" s="183"/>
      <c r="AE598" s="183"/>
      <c r="AF598" s="183"/>
      <c r="AG598" s="183"/>
      <c r="AH598" s="183"/>
    </row>
    <row r="599" spans="23:34">
      <c r="W599" s="176"/>
      <c r="AB599" s="183"/>
      <c r="AC599" s="183"/>
      <c r="AD599" s="183"/>
      <c r="AE599" s="183"/>
      <c r="AF599" s="183"/>
      <c r="AG599" s="183"/>
      <c r="AH599" s="183"/>
    </row>
    <row r="600" spans="23:34">
      <c r="W600" s="176"/>
      <c r="AB600" s="183"/>
      <c r="AC600" s="183"/>
      <c r="AD600" s="183"/>
      <c r="AE600" s="183"/>
      <c r="AF600" s="183"/>
      <c r="AG600" s="183"/>
      <c r="AH600" s="183"/>
    </row>
    <row r="601" spans="23:34">
      <c r="W601" s="176"/>
      <c r="AB601" s="183"/>
      <c r="AC601" s="183"/>
      <c r="AD601" s="183"/>
      <c r="AE601" s="183"/>
      <c r="AF601" s="183"/>
      <c r="AG601" s="183"/>
      <c r="AH601" s="183"/>
    </row>
    <row r="602" spans="23:34">
      <c r="W602" s="176"/>
      <c r="AB602" s="183"/>
      <c r="AC602" s="183"/>
      <c r="AD602" s="183"/>
      <c r="AE602" s="183"/>
      <c r="AF602" s="183"/>
      <c r="AG602" s="183"/>
      <c r="AH602" s="183"/>
    </row>
    <row r="603" spans="23:34">
      <c r="W603" s="176"/>
      <c r="AB603" s="183"/>
      <c r="AC603" s="183"/>
      <c r="AD603" s="183"/>
      <c r="AE603" s="183"/>
      <c r="AF603" s="183"/>
      <c r="AG603" s="183"/>
      <c r="AH603" s="183"/>
    </row>
    <row r="604" spans="23:34">
      <c r="W604" s="176"/>
      <c r="AB604" s="183"/>
      <c r="AC604" s="183"/>
      <c r="AD604" s="183"/>
      <c r="AE604" s="183"/>
      <c r="AF604" s="183"/>
      <c r="AG604" s="183"/>
      <c r="AH604" s="183"/>
    </row>
    <row r="605" spans="23:34">
      <c r="W605" s="176"/>
      <c r="AB605" s="183"/>
      <c r="AC605" s="183"/>
      <c r="AD605" s="183"/>
      <c r="AE605" s="183"/>
      <c r="AF605" s="183"/>
      <c r="AG605" s="183"/>
      <c r="AH605" s="183"/>
    </row>
    <row r="606" spans="23:34">
      <c r="W606" s="176"/>
      <c r="AB606" s="183"/>
      <c r="AC606" s="183"/>
      <c r="AD606" s="183"/>
      <c r="AE606" s="183"/>
      <c r="AF606" s="183"/>
      <c r="AG606" s="183"/>
      <c r="AH606" s="183"/>
    </row>
    <row r="607" spans="23:34">
      <c r="W607" s="176"/>
      <c r="AB607" s="183"/>
      <c r="AC607" s="183"/>
      <c r="AD607" s="183"/>
      <c r="AE607" s="183"/>
      <c r="AF607" s="183"/>
      <c r="AG607" s="183"/>
      <c r="AH607" s="183"/>
    </row>
    <row r="608" spans="23:34">
      <c r="W608" s="176"/>
      <c r="AB608" s="183"/>
      <c r="AC608" s="183"/>
      <c r="AD608" s="183"/>
      <c r="AE608" s="183"/>
      <c r="AF608" s="183"/>
      <c r="AG608" s="183"/>
      <c r="AH608" s="183"/>
    </row>
    <row r="609" spans="23:34">
      <c r="W609" s="176"/>
      <c r="AB609" s="183"/>
      <c r="AC609" s="183"/>
      <c r="AD609" s="183"/>
      <c r="AE609" s="183"/>
      <c r="AF609" s="183"/>
      <c r="AG609" s="183"/>
      <c r="AH609" s="183"/>
    </row>
    <row r="610" spans="23:34">
      <c r="W610" s="176"/>
      <c r="AB610" s="183"/>
      <c r="AC610" s="183"/>
      <c r="AD610" s="183"/>
      <c r="AE610" s="183"/>
      <c r="AF610" s="183"/>
      <c r="AG610" s="183"/>
      <c r="AH610" s="183"/>
    </row>
    <row r="611" spans="23:34">
      <c r="W611" s="176"/>
      <c r="AB611" s="183"/>
      <c r="AC611" s="183"/>
      <c r="AD611" s="183"/>
      <c r="AE611" s="183"/>
      <c r="AF611" s="183"/>
      <c r="AG611" s="183"/>
      <c r="AH611" s="183"/>
    </row>
    <row r="612" spans="23:34">
      <c r="W612" s="176"/>
      <c r="AB612" s="183"/>
      <c r="AC612" s="183"/>
      <c r="AD612" s="183"/>
      <c r="AE612" s="183"/>
      <c r="AF612" s="183"/>
      <c r="AG612" s="183"/>
      <c r="AH612" s="183"/>
    </row>
    <row r="613" spans="23:34">
      <c r="W613" s="176"/>
      <c r="AB613" s="183"/>
      <c r="AC613" s="183"/>
      <c r="AD613" s="183"/>
      <c r="AE613" s="183"/>
      <c r="AF613" s="183"/>
      <c r="AG613" s="183"/>
      <c r="AH613" s="183"/>
    </row>
    <row r="614" spans="23:34">
      <c r="W614" s="176"/>
      <c r="AB614" s="183"/>
      <c r="AC614" s="183"/>
      <c r="AD614" s="183"/>
      <c r="AE614" s="183"/>
      <c r="AF614" s="183"/>
      <c r="AG614" s="183"/>
      <c r="AH614" s="183"/>
    </row>
    <row r="615" spans="23:34">
      <c r="W615" s="176"/>
      <c r="AB615" s="183"/>
      <c r="AC615" s="183"/>
      <c r="AD615" s="183"/>
      <c r="AE615" s="183"/>
      <c r="AF615" s="183"/>
      <c r="AG615" s="183"/>
      <c r="AH615" s="183"/>
    </row>
    <row r="616" spans="23:34">
      <c r="W616" s="176"/>
      <c r="AB616" s="183"/>
      <c r="AC616" s="183"/>
      <c r="AD616" s="183"/>
      <c r="AE616" s="183"/>
      <c r="AF616" s="183"/>
      <c r="AG616" s="183"/>
      <c r="AH616" s="183"/>
    </row>
    <row r="617" spans="23:34">
      <c r="W617" s="176"/>
      <c r="AB617" s="183"/>
      <c r="AC617" s="183"/>
      <c r="AD617" s="183"/>
      <c r="AE617" s="183"/>
      <c r="AF617" s="183"/>
      <c r="AG617" s="183"/>
      <c r="AH617" s="183"/>
    </row>
    <row r="618" spans="23:34">
      <c r="W618" s="176"/>
      <c r="AB618" s="183"/>
      <c r="AC618" s="183"/>
      <c r="AD618" s="183"/>
      <c r="AE618" s="183"/>
      <c r="AF618" s="183"/>
      <c r="AG618" s="183"/>
      <c r="AH618" s="183"/>
    </row>
    <row r="619" spans="23:34">
      <c r="W619" s="176"/>
      <c r="AB619" s="183"/>
      <c r="AC619" s="183"/>
      <c r="AD619" s="183"/>
      <c r="AE619" s="183"/>
      <c r="AF619" s="183"/>
      <c r="AG619" s="183"/>
      <c r="AH619" s="183"/>
    </row>
    <row r="620" spans="23:34">
      <c r="W620" s="176"/>
      <c r="AB620" s="183"/>
      <c r="AC620" s="183"/>
      <c r="AD620" s="183"/>
      <c r="AE620" s="183"/>
      <c r="AF620" s="183"/>
      <c r="AG620" s="183"/>
      <c r="AH620" s="183"/>
    </row>
    <row r="621" spans="23:34">
      <c r="W621" s="176"/>
      <c r="AB621" s="183"/>
      <c r="AC621" s="183"/>
      <c r="AD621" s="183"/>
      <c r="AE621" s="183"/>
      <c r="AF621" s="183"/>
      <c r="AG621" s="183"/>
      <c r="AH621" s="183"/>
    </row>
    <row r="622" spans="23:34">
      <c r="W622" s="176"/>
      <c r="AB622" s="183"/>
      <c r="AC622" s="183"/>
      <c r="AD622" s="183"/>
      <c r="AE622" s="183"/>
      <c r="AF622" s="183"/>
      <c r="AG622" s="183"/>
      <c r="AH622" s="183"/>
    </row>
    <row r="623" spans="23:34">
      <c r="W623" s="176"/>
      <c r="AB623" s="183"/>
      <c r="AC623" s="183"/>
      <c r="AD623" s="183"/>
      <c r="AE623" s="183"/>
      <c r="AF623" s="183"/>
      <c r="AG623" s="183"/>
      <c r="AH623" s="183"/>
    </row>
    <row r="624" spans="23:34">
      <c r="W624" s="176"/>
      <c r="AB624" s="183"/>
      <c r="AC624" s="183"/>
      <c r="AD624" s="183"/>
      <c r="AE624" s="183"/>
      <c r="AF624" s="183"/>
      <c r="AG624" s="183"/>
      <c r="AH624" s="183"/>
    </row>
    <row r="625" spans="23:34">
      <c r="W625" s="176"/>
      <c r="AB625" s="183"/>
      <c r="AC625" s="183"/>
      <c r="AD625" s="183"/>
      <c r="AE625" s="183"/>
      <c r="AF625" s="183"/>
      <c r="AG625" s="183"/>
      <c r="AH625" s="183"/>
    </row>
    <row r="626" spans="23:34">
      <c r="W626" s="176"/>
      <c r="AB626" s="183"/>
      <c r="AC626" s="183"/>
      <c r="AD626" s="183"/>
      <c r="AE626" s="183"/>
      <c r="AF626" s="183"/>
      <c r="AG626" s="183"/>
      <c r="AH626" s="183"/>
    </row>
    <row r="627" spans="23:34">
      <c r="W627" s="176"/>
      <c r="AB627" s="183"/>
      <c r="AC627" s="183"/>
      <c r="AD627" s="183"/>
      <c r="AE627" s="183"/>
      <c r="AF627" s="183"/>
      <c r="AG627" s="183"/>
      <c r="AH627" s="183"/>
    </row>
    <row r="628" spans="23:34">
      <c r="W628" s="176"/>
      <c r="AB628" s="183"/>
      <c r="AC628" s="183"/>
      <c r="AD628" s="183"/>
      <c r="AE628" s="183"/>
      <c r="AF628" s="183"/>
      <c r="AG628" s="183"/>
      <c r="AH628" s="183"/>
    </row>
    <row r="629" spans="23:34">
      <c r="W629" s="176"/>
      <c r="AB629" s="183"/>
      <c r="AC629" s="183"/>
      <c r="AD629" s="183"/>
      <c r="AE629" s="183"/>
      <c r="AF629" s="183"/>
      <c r="AG629" s="183"/>
      <c r="AH629" s="183"/>
    </row>
    <row r="630" spans="23:34">
      <c r="W630" s="176"/>
      <c r="AB630" s="183"/>
      <c r="AC630" s="183"/>
      <c r="AD630" s="183"/>
      <c r="AE630" s="183"/>
      <c r="AF630" s="183"/>
      <c r="AG630" s="183"/>
      <c r="AH630" s="183"/>
    </row>
    <row r="631" spans="23:34">
      <c r="W631" s="176"/>
      <c r="AB631" s="183"/>
      <c r="AC631" s="183"/>
      <c r="AD631" s="183"/>
      <c r="AE631" s="183"/>
      <c r="AF631" s="183"/>
      <c r="AG631" s="183"/>
      <c r="AH631" s="183"/>
    </row>
    <row r="632" spans="23:34">
      <c r="W632" s="176"/>
      <c r="AB632" s="183"/>
      <c r="AC632" s="183"/>
      <c r="AD632" s="183"/>
      <c r="AE632" s="183"/>
      <c r="AF632" s="183"/>
      <c r="AG632" s="183"/>
      <c r="AH632" s="183"/>
    </row>
    <row r="633" spans="23:34">
      <c r="W633" s="176"/>
      <c r="AB633" s="183"/>
      <c r="AC633" s="183"/>
      <c r="AD633" s="183"/>
      <c r="AE633" s="183"/>
      <c r="AF633" s="183"/>
      <c r="AG633" s="183"/>
      <c r="AH633" s="183"/>
    </row>
    <row r="634" spans="23:34">
      <c r="W634" s="176"/>
      <c r="AB634" s="183"/>
      <c r="AC634" s="183"/>
      <c r="AD634" s="183"/>
      <c r="AE634" s="183"/>
      <c r="AF634" s="183"/>
      <c r="AG634" s="183"/>
      <c r="AH634" s="183"/>
    </row>
    <row r="635" spans="23:34">
      <c r="W635" s="176"/>
      <c r="AB635" s="183"/>
      <c r="AC635" s="183"/>
      <c r="AD635" s="183"/>
      <c r="AE635" s="183"/>
      <c r="AF635" s="183"/>
      <c r="AG635" s="183"/>
      <c r="AH635" s="183"/>
    </row>
    <row r="636" spans="23:34">
      <c r="W636" s="176"/>
      <c r="AB636" s="183"/>
      <c r="AC636" s="183"/>
      <c r="AD636" s="183"/>
      <c r="AE636" s="183"/>
      <c r="AF636" s="183"/>
      <c r="AG636" s="183"/>
      <c r="AH636" s="183"/>
    </row>
    <row r="637" spans="23:34">
      <c r="W637" s="176"/>
      <c r="AB637" s="183"/>
      <c r="AC637" s="183"/>
      <c r="AD637" s="183"/>
      <c r="AE637" s="183"/>
      <c r="AF637" s="183"/>
      <c r="AG637" s="183"/>
      <c r="AH637" s="183"/>
    </row>
    <row r="638" spans="23:34">
      <c r="W638" s="176"/>
      <c r="AB638" s="183"/>
      <c r="AC638" s="183"/>
      <c r="AD638" s="183"/>
      <c r="AE638" s="183"/>
      <c r="AF638" s="183"/>
      <c r="AG638" s="183"/>
      <c r="AH638" s="183"/>
    </row>
    <row r="639" spans="23:34">
      <c r="W639" s="176"/>
      <c r="AB639" s="183"/>
      <c r="AC639" s="183"/>
      <c r="AD639" s="183"/>
      <c r="AE639" s="183"/>
      <c r="AF639" s="183"/>
      <c r="AG639" s="183"/>
      <c r="AH639" s="183"/>
    </row>
    <row r="640" spans="23:34">
      <c r="W640" s="176"/>
      <c r="AB640" s="183"/>
      <c r="AC640" s="183"/>
      <c r="AD640" s="183"/>
      <c r="AE640" s="183"/>
      <c r="AF640" s="183"/>
      <c r="AG640" s="183"/>
      <c r="AH640" s="183"/>
    </row>
    <row r="641" spans="23:34">
      <c r="W641" s="176"/>
      <c r="AB641" s="183"/>
      <c r="AC641" s="183"/>
      <c r="AD641" s="183"/>
      <c r="AE641" s="183"/>
      <c r="AF641" s="183"/>
      <c r="AG641" s="183"/>
      <c r="AH641" s="183"/>
    </row>
    <row r="642" spans="23:34">
      <c r="W642" s="176"/>
      <c r="AB642" s="183"/>
      <c r="AC642" s="183"/>
      <c r="AD642" s="183"/>
      <c r="AE642" s="183"/>
      <c r="AF642" s="183"/>
      <c r="AG642" s="183"/>
      <c r="AH642" s="183"/>
    </row>
    <row r="643" spans="23:34">
      <c r="W643" s="176"/>
      <c r="AB643" s="183"/>
      <c r="AC643" s="183"/>
      <c r="AD643" s="183"/>
      <c r="AE643" s="183"/>
      <c r="AF643" s="183"/>
      <c r="AG643" s="183"/>
      <c r="AH643" s="183"/>
    </row>
    <row r="644" spans="23:34">
      <c r="W644" s="176"/>
      <c r="AB644" s="183"/>
      <c r="AC644" s="183"/>
      <c r="AD644" s="183"/>
      <c r="AE644" s="183"/>
      <c r="AF644" s="183"/>
      <c r="AG644" s="183"/>
      <c r="AH644" s="183"/>
    </row>
    <row r="645" spans="23:34">
      <c r="W645" s="176"/>
      <c r="AB645" s="183"/>
      <c r="AC645" s="183"/>
      <c r="AD645" s="183"/>
      <c r="AE645" s="183"/>
      <c r="AF645" s="183"/>
      <c r="AG645" s="183"/>
      <c r="AH645" s="183"/>
    </row>
    <row r="646" spans="23:34">
      <c r="W646" s="176"/>
      <c r="AB646" s="183"/>
      <c r="AC646" s="183"/>
      <c r="AD646" s="183"/>
      <c r="AE646" s="183"/>
      <c r="AF646" s="183"/>
      <c r="AG646" s="183"/>
      <c r="AH646" s="183"/>
    </row>
    <row r="647" spans="23:34">
      <c r="W647" s="176"/>
      <c r="AB647" s="183"/>
      <c r="AC647" s="183"/>
      <c r="AD647" s="183"/>
      <c r="AE647" s="183"/>
      <c r="AF647" s="183"/>
      <c r="AG647" s="183"/>
      <c r="AH647" s="183"/>
    </row>
    <row r="648" spans="23:34">
      <c r="W648" s="176"/>
      <c r="AB648" s="183"/>
      <c r="AC648" s="183"/>
      <c r="AD648" s="183"/>
      <c r="AE648" s="183"/>
      <c r="AF648" s="183"/>
      <c r="AG648" s="183"/>
      <c r="AH648" s="183"/>
    </row>
    <row r="649" spans="23:34">
      <c r="W649" s="176"/>
      <c r="AB649" s="183"/>
      <c r="AC649" s="183"/>
      <c r="AD649" s="183"/>
      <c r="AE649" s="183"/>
      <c r="AF649" s="183"/>
      <c r="AG649" s="183"/>
      <c r="AH649" s="183"/>
    </row>
    <row r="650" spans="23:34">
      <c r="W650" s="176"/>
      <c r="AB650" s="183"/>
      <c r="AC650" s="183"/>
      <c r="AD650" s="183"/>
      <c r="AE650" s="183"/>
      <c r="AF650" s="183"/>
      <c r="AG650" s="183"/>
      <c r="AH650" s="183"/>
    </row>
    <row r="651" spans="23:34">
      <c r="W651" s="176"/>
      <c r="AB651" s="183"/>
      <c r="AC651" s="183"/>
      <c r="AD651" s="183"/>
      <c r="AE651" s="183"/>
      <c r="AF651" s="183"/>
      <c r="AG651" s="183"/>
      <c r="AH651" s="183"/>
    </row>
    <row r="652" spans="23:34">
      <c r="W652" s="176"/>
      <c r="AB652" s="183"/>
      <c r="AC652" s="183"/>
      <c r="AD652" s="183"/>
      <c r="AE652" s="183"/>
      <c r="AF652" s="183"/>
      <c r="AG652" s="183"/>
      <c r="AH652" s="183"/>
    </row>
    <row r="653" spans="23:34">
      <c r="W653" s="176"/>
      <c r="AB653" s="183"/>
      <c r="AC653" s="183"/>
      <c r="AD653" s="183"/>
      <c r="AE653" s="183"/>
      <c r="AF653" s="183"/>
      <c r="AG653" s="183"/>
      <c r="AH653" s="183"/>
    </row>
  </sheetData>
  <mergeCells count="4">
    <mergeCell ref="Y67:Z67"/>
    <mergeCell ref="AA67:AB67"/>
    <mergeCell ref="Y83:Z83"/>
    <mergeCell ref="AA83:AB83"/>
  </mergeCells>
  <pageMargins left="0.7" right="0.7" top="0.75" bottom="0.75" header="0.3" footer="0.3"/>
  <pageSetup paperSize="9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HPLC</vt:lpstr>
      <vt:lpstr>HSGC</vt:lpstr>
      <vt:lpstr>All rådata HPLC og HSGC</vt:lpstr>
      <vt:lpstr>Rådata til Figurer fra R studio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Janne</dc:creator>
  <cp:lastModifiedBy>Janne</cp:lastModifiedBy>
  <dcterms:created xsi:type="dcterms:W3CDTF">2015-02-14T21:49:38Z</dcterms:created>
  <dcterms:modified xsi:type="dcterms:W3CDTF">2015-12-04T14:32:55Z</dcterms:modified>
</cp:coreProperties>
</file>