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ate1904="1"/>
  <bookViews>
    <workbookView xWindow="30" yWindow="65311" windowWidth="19185" windowHeight="12015" tabRatio="666" activeTab="0"/>
  </bookViews>
  <sheets>
    <sheet name="World" sheetId="1" r:id="rId1"/>
    <sheet name="Europe" sheetId="12" r:id="rId2"/>
    <sheet name="America" sheetId="19" r:id="rId3"/>
    <sheet name="Asia" sheetId="6" r:id="rId4"/>
    <sheet name="Africa" sheetId="2" r:id="rId5"/>
    <sheet name="Top three sources &amp; countries" sheetId="21" r:id="rId6"/>
    <sheet name="Northern America" sheetId="3" state="hidden" r:id="rId7"/>
    <sheet name="South America" sheetId="5" state="hidden" r:id="rId8"/>
    <sheet name="Oceania" sheetId="17" state="hidden" r:id="rId9"/>
    <sheet name="Central America" sheetId="4" state="hidden" r:id="rId10"/>
    <sheet name="Central Asia" sheetId="7" state="hidden" r:id="rId11"/>
    <sheet name="Eastern Asia" sheetId="8" state="hidden" r:id="rId12"/>
    <sheet name="Southern Asia" sheetId="9" state="hidden" r:id="rId13"/>
    <sheet name="SouthEastern Asia" sheetId="10" state="hidden" r:id="rId14"/>
    <sheet name="Western Asia" sheetId="11" state="hidden" r:id="rId15"/>
    <sheet name="Eastern Europe" sheetId="13" state="hidden" r:id="rId16"/>
    <sheet name="Northern Europe" sheetId="14" state="hidden" r:id="rId17"/>
    <sheet name="Southern Europe" sheetId="15" state="hidden" r:id="rId18"/>
    <sheet name="Western Europe" sheetId="16" state="hidden" r:id="rId19"/>
    <sheet name="Australia NewZealand" sheetId="18" state="hidden" r:id="rId20"/>
    <sheet name="Seaweed" sheetId="22" r:id="rId21"/>
  </sheets>
  <definedNames/>
  <calcPr calcId="144525"/>
</workbook>
</file>

<file path=xl/comments1.xml><?xml version="1.0" encoding="utf-8"?>
<comments xmlns="http://schemas.openxmlformats.org/spreadsheetml/2006/main">
  <authors>
    <author>Jk</author>
  </authors>
  <commentList>
    <comment ref="F4" authorId="0">
      <text>
        <r>
          <rPr>
            <u val="single"/>
            <sz val="10"/>
            <rFont val="Tahoma"/>
            <family val="2"/>
          </rPr>
          <t>Explanation of calculation:</t>
        </r>
        <r>
          <rPr>
            <sz val="10"/>
            <rFont val="Tahoma"/>
            <family val="2"/>
          </rPr>
          <t xml:space="preserve">
=(X*Y)
X = Total dietary fiber for item (from Chemical composition of raw materials.xlsx)
Y = Waste volume 2007 (column D)</t>
        </r>
      </text>
    </comment>
    <comment ref="G4" authorId="0">
      <text>
        <r>
          <rPr>
            <u val="single"/>
            <sz val="10"/>
            <rFont val="Tahoma"/>
            <family val="2"/>
          </rPr>
          <t>Explanation of calculation:</t>
        </r>
        <r>
          <rPr>
            <sz val="10"/>
            <rFont val="Tahoma"/>
            <family val="2"/>
          </rPr>
          <t xml:space="preserve">
=(X*Y)
X = Insoluble fiber for item (from Chemical composition of raw materials.xlsx)
Y = Waste volume 2007 (column D)</t>
        </r>
      </text>
    </comment>
    <comment ref="H4" authorId="0">
      <text>
        <r>
          <rPr>
            <u val="single"/>
            <sz val="10"/>
            <rFont val="Tahoma"/>
            <family val="2"/>
          </rPr>
          <t>Explanation of calculation:</t>
        </r>
        <r>
          <rPr>
            <sz val="10"/>
            <rFont val="Tahoma"/>
            <family val="2"/>
          </rPr>
          <t xml:space="preserve">
=(X*Y)
X = Cellulose content for item (from Chemical composition of raw materials.xlsx)
Y = Waste volume 2007 (column D)</t>
        </r>
      </text>
    </comment>
    <comment ref="N4" authorId="0">
      <text>
        <r>
          <rPr>
            <u val="single"/>
            <sz val="10"/>
            <rFont val="Tahoma"/>
            <family val="2"/>
          </rPr>
          <t xml:space="preserve">Explanation of calculation:
</t>
        </r>
        <r>
          <rPr>
            <sz val="10"/>
            <rFont val="Tahoma"/>
            <family val="2"/>
          </rPr>
          <t>=(X*600)*(4/5,67)
X = Cellulose content (column H)
600 = 1 ton cellulose is 600 liters of spirits
4 = 4 kr per litre ethanol
5,67 = Exchange rate USDNOK [16.03.2011 - 12:55]</t>
        </r>
      </text>
    </comment>
    <comment ref="O4" authorId="0">
      <text>
        <r>
          <rPr>
            <u val="single"/>
            <sz val="10"/>
            <rFont val="Tahoma"/>
            <family val="2"/>
          </rPr>
          <t>Explanation of calculation:</t>
        </r>
        <r>
          <rPr>
            <sz val="10"/>
            <rFont val="Tahoma"/>
            <family val="2"/>
          </rPr>
          <t xml:space="preserve">
=(X*Y)*13585
X = Pectin content in Y (from Chemical composition of raw materials.xlsx)
Y = Waste volume 2007 (column D)
13585 = pectin price per ton (US $13,858 per KG)</t>
        </r>
      </text>
    </comment>
    <comment ref="P4" authorId="0">
      <text>
        <r>
          <rPr>
            <u val="single"/>
            <sz val="10"/>
            <rFont val="Tahoma"/>
            <family val="2"/>
          </rPr>
          <t xml:space="preserve">Explanation of calculation:
</t>
        </r>
        <r>
          <rPr>
            <sz val="10"/>
            <rFont val="Tahoma"/>
            <family val="2"/>
          </rPr>
          <t>=(X*Y)*580
X = Protein content in Y (from Chemical composition of raw materials.xlsx)
Y = Waste volume 2007 (column D)
580 = protein price per ton (calculated in collaboration with Felleskjøpet)</t>
        </r>
      </text>
    </comment>
    <comment ref="F15" authorId="0">
      <text>
        <r>
          <rPr>
            <sz val="10"/>
            <rFont val="Tahoma"/>
            <family val="2"/>
          </rPr>
          <t>Total dietary fiber from whole potato, not waste.</t>
        </r>
      </text>
    </comment>
    <comment ref="G15" authorId="0">
      <text>
        <r>
          <rPr>
            <sz val="10"/>
            <rFont val="Tahoma"/>
            <family val="2"/>
          </rPr>
          <t xml:space="preserve">Insoluble fiber from whole potato, not waste
</t>
        </r>
        <r>
          <rPr>
            <sz val="8"/>
            <rFont val="Tahoma"/>
            <family val="2"/>
          </rPr>
          <t xml:space="preserve">
</t>
        </r>
      </text>
    </comment>
    <comment ref="H15" authorId="0">
      <text>
        <r>
          <rPr>
            <sz val="10"/>
            <rFont val="Tahoma"/>
            <family val="2"/>
          </rPr>
          <t xml:space="preserve">The cellulose content is calculated from insoluble fiber, since we did not found the cellulose value in sweet potatoes. According to Stefan Backa at Borregaard can we expect that the proportion of cellulose in insoluble fiber is 30%. The values are obtained from the whole potato, not waste.
</t>
        </r>
      </text>
    </comment>
    <comment ref="O15" authorId="0">
      <text>
        <r>
          <rPr>
            <sz val="8"/>
            <rFont val="Tahoma"/>
            <family val="2"/>
          </rPr>
          <t xml:space="preserve">Calculated from whole potato, not waste.
</t>
        </r>
      </text>
    </comment>
    <comment ref="H16" authorId="0">
      <text>
        <r>
          <rPr>
            <sz val="10"/>
            <rFont val="Tahoma"/>
            <family val="2"/>
          </rPr>
          <t xml:space="preserve">The cellulose content is calculated from insoluble fiber, since we did not found the cellulose value in onions. According to Stefan Backa at Borregaard can we expect that the proportion of cellulose in insoluble fiber is 30%. </t>
        </r>
      </text>
    </comment>
    <comment ref="H18" authorId="0">
      <text>
        <r>
          <rPr>
            <sz val="10"/>
            <rFont val="Tahoma"/>
            <family val="2"/>
          </rPr>
          <t>The cellulose content is calculated from total fiber, since we did not found the cellulose value in yams. According to Stefan Backa at Borregaard, we can expect that the proportion of cellulose in total dietary fiber is 20%.</t>
        </r>
      </text>
    </comment>
    <comment ref="O18" authorId="0">
      <text>
        <r>
          <rPr>
            <sz val="10"/>
            <rFont val="Tahoma"/>
            <family val="2"/>
          </rPr>
          <t>Calculated from whole yam, not waste.</t>
        </r>
      </text>
    </comment>
    <comment ref="H22" authorId="0">
      <text>
        <r>
          <rPr>
            <sz val="10"/>
            <rFont val="Tahoma"/>
            <family val="2"/>
          </rPr>
          <t xml:space="preserve">The cellulose content is calculated from total fiber, since we did not found the cellulose value in cocnuts. According to Stefan Backa at Borregaard can we expect that the proportion of cellulose in insoluble fiber is 30%. </t>
        </r>
      </text>
    </comment>
    <comment ref="A25" authorId="0">
      <text>
        <r>
          <rPr>
            <sz val="10"/>
            <rFont val="Tahoma"/>
            <family val="2"/>
          </rPr>
          <t>Haven't fount the chemical content for this item.</t>
        </r>
      </text>
    </comment>
    <comment ref="H27" authorId="0">
      <text>
        <r>
          <rPr>
            <sz val="10"/>
            <rFont val="Tahoma"/>
            <family val="2"/>
          </rPr>
          <t>An average calculation of cellulose content from rape and mustardseed are calculated</t>
        </r>
      </text>
    </comment>
    <comment ref="P27" authorId="0">
      <text>
        <r>
          <rPr>
            <sz val="10"/>
            <rFont val="Tahoma"/>
            <family val="2"/>
          </rPr>
          <t>An average calculation of protein content from rape and mustardseed are calculated</t>
        </r>
      </text>
    </comment>
    <comment ref="A28" authorId="0">
      <text>
        <r>
          <rPr>
            <sz val="10"/>
            <rFont val="Verdana"/>
            <family val="2"/>
          </rPr>
          <t>Haven't fount the chemical content for this item.</t>
        </r>
      </text>
    </comment>
    <comment ref="A31" authorId="0">
      <text>
        <r>
          <rPr>
            <sz val="10"/>
            <rFont val="Tahoma"/>
            <family val="2"/>
          </rPr>
          <t>Haven't fount the chemical content for this item.</t>
        </r>
      </text>
    </comment>
    <comment ref="A34" authorId="0">
      <text>
        <r>
          <rPr>
            <sz val="10"/>
            <rFont val="Tahoma"/>
            <family val="2"/>
          </rPr>
          <t>Haven't fount the chemical content for this item.</t>
        </r>
      </text>
    </comment>
    <comment ref="A39" authorId="0">
      <text>
        <r>
          <rPr>
            <sz val="10"/>
            <rFont val="Tahoma"/>
            <family val="2"/>
          </rPr>
          <t>Haven't fount the chemical content for this item.</t>
        </r>
      </text>
    </comment>
    <comment ref="A40" authorId="0">
      <text>
        <r>
          <rPr>
            <sz val="10"/>
            <rFont val="Tahoma"/>
            <family val="2"/>
          </rPr>
          <t>Haven't fount the chemical content for this item.</t>
        </r>
      </text>
    </comment>
  </commentList>
</comments>
</file>

<file path=xl/comments2.xml><?xml version="1.0" encoding="utf-8"?>
<comments xmlns="http://schemas.openxmlformats.org/spreadsheetml/2006/main">
  <authors>
    <author>Jk</author>
  </authors>
  <commentList>
    <comment ref="F4" authorId="0">
      <text>
        <r>
          <rPr>
            <u val="single"/>
            <sz val="10"/>
            <rFont val="Tahoma"/>
            <family val="2"/>
          </rPr>
          <t>Explanation of calculation:</t>
        </r>
        <r>
          <rPr>
            <sz val="10"/>
            <rFont val="Tahoma"/>
            <family val="2"/>
          </rPr>
          <t xml:space="preserve">
=(X*Y)
X = Total dietary fiber for item (from Chemical composition of raw materials.xlsx)
Y = Waste volume 2007 (column D)</t>
        </r>
      </text>
    </comment>
    <comment ref="G4" authorId="0">
      <text>
        <r>
          <rPr>
            <u val="single"/>
            <sz val="10"/>
            <rFont val="Tahoma"/>
            <family val="2"/>
          </rPr>
          <t>Explanation of calculation:</t>
        </r>
        <r>
          <rPr>
            <sz val="10"/>
            <rFont val="Tahoma"/>
            <family val="2"/>
          </rPr>
          <t xml:space="preserve">
=(X*Y)
X = Insoluble fiber for item (from Chemical composition of raw materials.xlsx)
Y = Waste volume 2007 (column D)</t>
        </r>
        <r>
          <rPr>
            <sz val="8"/>
            <rFont val="Tahoma"/>
            <family val="2"/>
          </rPr>
          <t xml:space="preserve">
</t>
        </r>
      </text>
    </comment>
    <comment ref="H4" authorId="0">
      <text>
        <r>
          <rPr>
            <u val="single"/>
            <sz val="10"/>
            <rFont val="Tahoma"/>
            <family val="2"/>
          </rPr>
          <t>Explanation of calculation:</t>
        </r>
        <r>
          <rPr>
            <sz val="10"/>
            <rFont val="Tahoma"/>
            <family val="2"/>
          </rPr>
          <t xml:space="preserve">
=(X*Y)
X = Cellulose content for item (from Chemical composition of raw materials.xlsx)
Y = Waste volume 2007 (column D)</t>
        </r>
      </text>
    </comment>
    <comment ref="N4" authorId="0">
      <text>
        <r>
          <rPr>
            <u val="single"/>
            <sz val="10"/>
            <rFont val="Tahoma"/>
            <family val="2"/>
          </rPr>
          <t xml:space="preserve">Explanation of calculation:
</t>
        </r>
        <r>
          <rPr>
            <sz val="10"/>
            <rFont val="Tahoma"/>
            <family val="2"/>
          </rPr>
          <t>=(X*600)*(4/5,67)
X = Cellulose content (column H)
600 = 1 ton cellulose is 600 liters of spirits
4 = 4 kr per litre ethanol
5,67 = Exchange rate USDNOK [16.03.2011 - 12:55]</t>
        </r>
      </text>
    </comment>
    <comment ref="O4" authorId="0">
      <text>
        <r>
          <rPr>
            <u val="single"/>
            <sz val="10"/>
            <rFont val="Tahoma"/>
            <family val="2"/>
          </rPr>
          <t>Explanation of calculation:</t>
        </r>
        <r>
          <rPr>
            <b/>
            <sz val="8"/>
            <rFont val="Tahoma"/>
            <family val="2"/>
          </rPr>
          <t xml:space="preserve">
</t>
        </r>
        <r>
          <rPr>
            <sz val="10"/>
            <rFont val="Tahoma"/>
            <family val="2"/>
          </rPr>
          <t xml:space="preserve">
=(X*Y)*13585
X = Pectin content in Y (from Chemical composition of raw materials.xlsx)
Y = Waste volume 2007 (column D)
13585 = pectin price per ton (US $13,858 per KG)</t>
        </r>
        <r>
          <rPr>
            <sz val="8"/>
            <rFont val="Tahoma"/>
            <family val="2"/>
          </rPr>
          <t xml:space="preserve">
</t>
        </r>
      </text>
    </comment>
    <comment ref="P4" authorId="0">
      <text>
        <r>
          <rPr>
            <sz val="10"/>
            <rFont val="Tahoma"/>
            <family val="2"/>
          </rPr>
          <t>Explanation of calculation:
=(X*Y)*580
X = Protein content in Y (from Chemical composition of raw materials.xlsx)
Y = Waste volume 2007 (column D)
580 = protein price per ton (calculated in collaboration with Felleskjøpet)</t>
        </r>
      </text>
    </comment>
    <comment ref="H12" authorId="0">
      <text>
        <r>
          <rPr>
            <sz val="10"/>
            <rFont val="Tahoma"/>
            <family val="2"/>
          </rPr>
          <t xml:space="preserve">The cellulose content is calculated from insoluble fiber, since we did not found the cellulose value in onions. According to Stefan Backa at Borregaard can we expect that the proportion of cellulose in insoluble fiber is 30%. </t>
        </r>
      </text>
    </comment>
    <comment ref="H19" authorId="0">
      <text>
        <r>
          <rPr>
            <sz val="10"/>
            <rFont val="Tahoma"/>
            <family val="2"/>
          </rPr>
          <t>An average calculation of cellulose content from rape and mustardseed are calculated</t>
        </r>
      </text>
    </comment>
    <comment ref="P19" authorId="0">
      <text>
        <r>
          <rPr>
            <sz val="10"/>
            <rFont val="Tahoma"/>
            <family val="2"/>
          </rPr>
          <t>An average calculation of protein content from rape and mustardseed are calculated</t>
        </r>
      </text>
    </comment>
    <comment ref="O22" authorId="0">
      <text>
        <r>
          <rPr>
            <sz val="10"/>
            <rFont val="Tahoma"/>
            <family val="2"/>
          </rPr>
          <t>Pectin value from grapes</t>
        </r>
      </text>
    </comment>
    <comment ref="P22" authorId="0">
      <text>
        <r>
          <rPr>
            <sz val="10"/>
            <rFont val="Tahoma"/>
            <family val="2"/>
          </rPr>
          <t xml:space="preserve">Protein prices from grapes
</t>
        </r>
      </text>
    </comment>
  </commentList>
</comments>
</file>

<file path=xl/comments21.xml><?xml version="1.0" encoding="utf-8"?>
<comments xmlns="http://schemas.openxmlformats.org/spreadsheetml/2006/main">
  <authors>
    <author>Jk</author>
    <author>jensro</author>
  </authors>
  <commentList>
    <comment ref="D8" authorId="0">
      <text>
        <r>
          <rPr>
            <sz val="10"/>
            <rFont val="Tahoma"/>
            <family val="2"/>
          </rPr>
          <t xml:space="preserve">The seaweed is ranged by quantity (t).
</t>
        </r>
      </text>
    </comment>
    <comment ref="F8" authorId="0">
      <text>
        <r>
          <rPr>
            <u val="single"/>
            <sz val="10"/>
            <rFont val="Tahoma"/>
            <family val="2"/>
          </rPr>
          <t>Explanation of calculation:</t>
        </r>
        <r>
          <rPr>
            <sz val="10"/>
            <rFont val="Tahoma"/>
            <family val="2"/>
          </rPr>
          <t xml:space="preserve">
=(X*Y)
X = Total dietary fiber for item (from Chemical composition of raw materials.xlsx)
Y = Waste volume 2007 (column D)</t>
        </r>
      </text>
    </comment>
    <comment ref="G8" authorId="0">
      <text>
        <r>
          <rPr>
            <u val="single"/>
            <sz val="10"/>
            <rFont val="Tahoma"/>
            <family val="2"/>
          </rPr>
          <t>Explanation of calculation:</t>
        </r>
        <r>
          <rPr>
            <sz val="10"/>
            <rFont val="Tahoma"/>
            <family val="2"/>
          </rPr>
          <t xml:space="preserve">
=(X*Y)
X = Insoluble fiber for item (from Chemical composition of raw materials.xlsx)
Y = Waste volume 2007 (column D)</t>
        </r>
      </text>
    </comment>
    <comment ref="H8" authorId="1">
      <text>
        <r>
          <rPr>
            <sz val="10"/>
            <rFont val="Tahoma"/>
            <family val="2"/>
          </rPr>
          <t xml:space="preserve">The cellulose content is calculated from insoluble fiber, since we did not found the cellulose value in seaweed. According to Stefan Backa at Borregaard can we expect that the proportion of cellulose in insoluble fiber is 30%. </t>
        </r>
        <r>
          <rPr>
            <sz val="8"/>
            <rFont val="Tahoma"/>
            <family val="2"/>
          </rPr>
          <t xml:space="preserve">
</t>
        </r>
        <r>
          <rPr>
            <u val="single"/>
            <sz val="10"/>
            <rFont val="Tahoma"/>
            <family val="2"/>
          </rPr>
          <t>Explanation of calculation:</t>
        </r>
        <r>
          <rPr>
            <sz val="10"/>
            <rFont val="Tahoma"/>
            <family val="2"/>
          </rPr>
          <t xml:space="preserve">
=((X*Z/100)/100)*Y)
X = Insoluble fiber for item (from Chemical composition of raw materials.xlsx)
Z = 30 %
Y = Waste volume 2007 (column D)</t>
        </r>
      </text>
    </comment>
    <comment ref="J8" authorId="0">
      <text>
        <r>
          <rPr>
            <u val="single"/>
            <sz val="10"/>
            <rFont val="Tahoma"/>
            <family val="2"/>
          </rPr>
          <t>Explanation of calculation:</t>
        </r>
        <r>
          <rPr>
            <sz val="10"/>
            <rFont val="Tahoma"/>
            <family val="2"/>
          </rPr>
          <t xml:space="preserve">
=(X*600)*(4/5,67)
X = Cellulose content (column H)
600 = 1 ton cellulose is 600 liters of spirits
4 = 4 kr per litre ethanol
5,67 = Exchange rate USDNOK [16.03.2011 - 12:55]</t>
        </r>
      </text>
    </comment>
    <comment ref="K8" authorId="0">
      <text>
        <r>
          <rPr>
            <sz val="10"/>
            <rFont val="Tahoma"/>
            <family val="2"/>
          </rPr>
          <t>We have not found the pectin content in seaweed</t>
        </r>
        <r>
          <rPr>
            <sz val="8"/>
            <rFont val="Tahoma"/>
            <family val="2"/>
          </rPr>
          <t xml:space="preserve">
</t>
        </r>
      </text>
    </comment>
    <comment ref="L8" authorId="0">
      <text>
        <r>
          <rPr>
            <sz val="10"/>
            <rFont val="Tahoma"/>
            <family val="2"/>
          </rPr>
          <t xml:space="preserve">The protein price is calculated from raw materials to animal feed, not seaweed, but it gives an estimate. Seaweed is an ideal animal feed supplement. (http://www.jollygerman.com/products/goats/seaweedmeal.shtml)
Explanation of calculation:
=(X*Y)*580
X = Protein content in Y (from Chemical composition of raw materials.xlsx)
Y = Waste volume 2007 (column D)
580 = protein price per ton (calculated in collaboration with Felleskjøpet)
</t>
        </r>
      </text>
    </comment>
  </commentList>
</comments>
</file>

<file path=xl/comments3.xml><?xml version="1.0" encoding="utf-8"?>
<comments xmlns="http://schemas.openxmlformats.org/spreadsheetml/2006/main">
  <authors>
    <author>Jk</author>
  </authors>
  <commentList>
    <comment ref="F4" authorId="0">
      <text>
        <r>
          <rPr>
            <u val="single"/>
            <sz val="10"/>
            <rFont val="Tahoma"/>
            <family val="2"/>
          </rPr>
          <t>Explanation of calculation:</t>
        </r>
        <r>
          <rPr>
            <sz val="10"/>
            <rFont val="Tahoma"/>
            <family val="2"/>
          </rPr>
          <t xml:space="preserve">
=(X*Y)
X = Total dietary fiber for item (from Chemical composition of raw materials.xlsx)
Y = Waste volume 2007 (column D)</t>
        </r>
      </text>
    </comment>
    <comment ref="G4" authorId="0">
      <text>
        <r>
          <rPr>
            <sz val="10"/>
            <rFont val="Tahoma"/>
            <family val="2"/>
          </rPr>
          <t>Explanation of calculation:
=(X*Y)
X = Insoluble fiber for item (from Chemical composition of raw materials.xlsx)
Y = Waste volume 2007 (column D)</t>
        </r>
      </text>
    </comment>
    <comment ref="H4" authorId="0">
      <text>
        <r>
          <rPr>
            <u val="single"/>
            <sz val="10"/>
            <rFont val="Tahoma"/>
            <family val="2"/>
          </rPr>
          <t>Explanation of calculation:</t>
        </r>
        <r>
          <rPr>
            <sz val="10"/>
            <rFont val="Tahoma"/>
            <family val="2"/>
          </rPr>
          <t xml:space="preserve">
=(X*Y)
X = Cellulose content for item (from Chemical composition of raw materials.xlsx)
Y = Waste volume 2007 (column D)</t>
        </r>
      </text>
    </comment>
    <comment ref="N4" authorId="0">
      <text>
        <r>
          <rPr>
            <sz val="10"/>
            <rFont val="Tahoma"/>
            <family val="2"/>
          </rPr>
          <t>Explanation of calculation:
=(X*600)*(4/5,67)
X = Cellulose content (column H)
600 = 1 ton cellulose is 600 liters of spirits
4 = 4 kr per litre ethanol
5,67 = Exchange rate USDNOK [16.03.2011 - 12:55]</t>
        </r>
      </text>
    </comment>
    <comment ref="O4" authorId="0">
      <text>
        <r>
          <rPr>
            <u val="single"/>
            <sz val="10"/>
            <rFont val="Tahoma"/>
            <family val="2"/>
          </rPr>
          <t>Explanation of calculation:</t>
        </r>
        <r>
          <rPr>
            <sz val="10"/>
            <rFont val="Tahoma"/>
            <family val="2"/>
          </rPr>
          <t xml:space="preserve">
=(X*Y)*13585
X = Pectin content in Y (from Chemical composition of raw materials.xlsx)
Y = Waste volume 2007 (column D)
13585 = pectin price per ton (US $13,858 per KG)</t>
        </r>
        <r>
          <rPr>
            <sz val="8"/>
            <rFont val="Tahoma"/>
            <family val="2"/>
          </rPr>
          <t xml:space="preserve">
</t>
        </r>
      </text>
    </comment>
    <comment ref="P4" authorId="0">
      <text>
        <r>
          <rPr>
            <u val="single"/>
            <sz val="10"/>
            <rFont val="Tahoma"/>
            <family val="2"/>
          </rPr>
          <t xml:space="preserve">Explanation of calculation:
</t>
        </r>
        <r>
          <rPr>
            <sz val="10"/>
            <rFont val="Tahoma"/>
            <family val="2"/>
          </rPr>
          <t xml:space="preserve">
=(X*Y)*580
X = Protein content in Y (from Chemical composition of raw materials.xlsx)
Y = Waste volume 2007 (column D)
580 = protein price per ton (calculated in collaboration with Felleskjøpet)</t>
        </r>
      </text>
    </comment>
    <comment ref="O5" authorId="0">
      <text>
        <r>
          <rPr>
            <sz val="10"/>
            <rFont val="Tahoma"/>
            <family val="2"/>
          </rPr>
          <t xml:space="preserve">Our findings shows that sugar cane has a low amount of pectin (0,10 %). Hence, this calculation is not appropriate. The big value is due to the high amount of waste. </t>
        </r>
      </text>
    </comment>
    <comment ref="H20" authorId="0">
      <text>
        <r>
          <rPr>
            <sz val="10"/>
            <rFont val="Tahoma"/>
            <family val="2"/>
          </rPr>
          <t xml:space="preserve">The cellulose content is calculated from insoluble fiber, since we did not found the cellulose value in onions. According to Stefan Backa at Borregaard can we expect that the proportion of cellulose in insoluble fiber is 30%. </t>
        </r>
      </text>
    </comment>
    <comment ref="H25" authorId="0">
      <text>
        <r>
          <rPr>
            <sz val="10"/>
            <rFont val="Tahoma"/>
            <family val="2"/>
          </rPr>
          <t>An average calculation of cellulose content from rape and mustardseed are calculated</t>
        </r>
        <r>
          <rPr>
            <sz val="8"/>
            <rFont val="Tahoma"/>
            <family val="2"/>
          </rPr>
          <t xml:space="preserve">
</t>
        </r>
      </text>
    </comment>
    <comment ref="P25" authorId="0">
      <text>
        <r>
          <rPr>
            <sz val="10"/>
            <rFont val="Tahoma"/>
            <family val="2"/>
          </rPr>
          <t>An average calculation of protein content from rape and mustardseed are calculated</t>
        </r>
      </text>
    </comment>
    <comment ref="H26" authorId="0">
      <text>
        <r>
          <rPr>
            <sz val="10"/>
            <rFont val="Tahoma"/>
            <family val="2"/>
          </rPr>
          <t>The cellulose content is calculated from insoluble fiber, since we did not found the cellulose value in sweet potatoes. According to Stefan Backa at Borregaard can we expect that the proportion of cellulose in insoluble fiber is 30%. The values are obtained from the whole potato, not waste.</t>
        </r>
        <r>
          <rPr>
            <b/>
            <sz val="8"/>
            <rFont val="Tahoma"/>
            <family val="2"/>
          </rPr>
          <t xml:space="preserve">
</t>
        </r>
        <r>
          <rPr>
            <sz val="10"/>
            <rFont val="Tahoma"/>
            <family val="2"/>
          </rPr>
          <t xml:space="preserve">
Because of the inaccurate calculation combined with low amount of waste, we get a low value here.</t>
        </r>
      </text>
    </comment>
  </commentList>
</comments>
</file>

<file path=xl/comments4.xml><?xml version="1.0" encoding="utf-8"?>
<comments xmlns="http://schemas.openxmlformats.org/spreadsheetml/2006/main">
  <authors>
    <author>Jk</author>
  </authors>
  <commentList>
    <comment ref="F4" authorId="0">
      <text>
        <r>
          <rPr>
            <u val="single"/>
            <sz val="10"/>
            <rFont val="Tahoma"/>
            <family val="2"/>
          </rPr>
          <t>Explanation of calculation:</t>
        </r>
        <r>
          <rPr>
            <sz val="10"/>
            <rFont val="Tahoma"/>
            <family val="2"/>
          </rPr>
          <t xml:space="preserve">
=(X*Y)
X = Total dietary fiber for item (from Chemical composition of raw materials.xlsx)
Y = Waste volume 2007 (column D)</t>
        </r>
      </text>
    </comment>
    <comment ref="G4" authorId="0">
      <text>
        <r>
          <rPr>
            <u val="single"/>
            <sz val="10"/>
            <rFont val="Tahoma"/>
            <family val="2"/>
          </rPr>
          <t>Explanation of calculation:</t>
        </r>
        <r>
          <rPr>
            <sz val="10"/>
            <rFont val="Tahoma"/>
            <family val="2"/>
          </rPr>
          <t xml:space="preserve">
=(X*Y)
X = Insoluble fiber for item (from Chemical composition of raw materials.xlsx)
Y = Waste volume 2007 (column D)</t>
        </r>
      </text>
    </comment>
    <comment ref="H4" authorId="0">
      <text>
        <r>
          <rPr>
            <u val="single"/>
            <sz val="10"/>
            <rFont val="Tahoma"/>
            <family val="2"/>
          </rPr>
          <t>Explanation of calculation:</t>
        </r>
        <r>
          <rPr>
            <sz val="10"/>
            <rFont val="Tahoma"/>
            <family val="2"/>
          </rPr>
          <t xml:space="preserve">
=(X*Y)
X = Cellulose content for item (from Chemical composition of raw materials.xlsx)
Y = Waste volume 2007 (column D)</t>
        </r>
      </text>
    </comment>
    <comment ref="N4" authorId="0">
      <text>
        <r>
          <rPr>
            <sz val="10"/>
            <rFont val="Tahoma"/>
            <family val="2"/>
          </rPr>
          <t>Explanation of calculation:
=(X*600)*(4/5,67)
X = Cellulose content (column H)
600 = 1 ton cellulose is 600 liters of spirits
4 = 4 kr per litre ethanol
5,67 = Exchange rate USDNOK [16.03.2011 - 12:55]</t>
        </r>
      </text>
    </comment>
    <comment ref="O4" authorId="0">
      <text>
        <r>
          <rPr>
            <u val="single"/>
            <sz val="10"/>
            <rFont val="Tahoma"/>
            <family val="2"/>
          </rPr>
          <t>Explanation of calculation:</t>
        </r>
        <r>
          <rPr>
            <sz val="10"/>
            <rFont val="Tahoma"/>
            <family val="2"/>
          </rPr>
          <t xml:space="preserve">
=(X*Y)*13585
X = Pectin content in Y (from Chemical composition of raw materials.xlsx)
Y = Waste volume 2007 (column D)
13585 = pectin price per ton (US $13,858 per KG)</t>
        </r>
      </text>
    </comment>
    <comment ref="P4" authorId="0">
      <text>
        <r>
          <rPr>
            <u val="single"/>
            <sz val="10"/>
            <rFont val="Tahoma"/>
            <family val="2"/>
          </rPr>
          <t>Explanation of calculation:</t>
        </r>
        <r>
          <rPr>
            <sz val="10"/>
            <rFont val="Tahoma"/>
            <family val="2"/>
          </rPr>
          <t xml:space="preserve">
=(X*Y)*580
X = Protein content in Y (from Chemical composition of raw materials.xlsx)
Y = Waste volume 2007 (column D)
580 = protein price per ton (calculated in collaboration with Felleskjøpet)</t>
        </r>
      </text>
    </comment>
    <comment ref="F14" authorId="0">
      <text>
        <r>
          <rPr>
            <sz val="10"/>
            <rFont val="Tahoma"/>
            <family val="2"/>
          </rPr>
          <t>Total dietary fiber from whole potato, not waste</t>
        </r>
      </text>
    </comment>
    <comment ref="G14" authorId="0">
      <text>
        <r>
          <rPr>
            <sz val="10"/>
            <rFont val="Tahoma"/>
            <family val="2"/>
          </rPr>
          <t>Insoluble fiber from whole potato, not waste</t>
        </r>
      </text>
    </comment>
    <comment ref="H14" authorId="0">
      <text>
        <r>
          <rPr>
            <sz val="8"/>
            <rFont val="Tahoma"/>
            <family val="2"/>
          </rPr>
          <t>The cellulose content is calculated from insoluble fiber, since we did not found the cellulose value in sweet potatoes. According to Stefan Backa at Borregaard can we expect that the proportion of cellulose in insoluble fiber is 30%. The values are obtained from the whole potato, not waste.</t>
        </r>
      </text>
    </comment>
    <comment ref="O14" authorId="0">
      <text>
        <r>
          <rPr>
            <sz val="10"/>
            <rFont val="Tahoma"/>
            <family val="2"/>
          </rPr>
          <t>Pectin content from whole potato, not waste</t>
        </r>
      </text>
    </comment>
    <comment ref="H16" authorId="0">
      <text>
        <r>
          <rPr>
            <sz val="8"/>
            <rFont val="Tahoma"/>
            <family val="2"/>
          </rPr>
          <t xml:space="preserve">The cellulose content is calculated from insoluble fiber, since we did not found the cellulose value in onions. According to Stefan Backa at Borregaard can we expect that the proportion of cellulose in insoluble fiber is 30%. </t>
        </r>
      </text>
    </comment>
    <comment ref="H17" authorId="0">
      <text>
        <r>
          <rPr>
            <sz val="10"/>
            <rFont val="Tahoma"/>
            <family val="2"/>
          </rPr>
          <t xml:space="preserve">The cellulose content is calculated from total fiber, since we did not found the cellulose value in cocnuts. According to Stefan Backa at Borregaard can we expect that the proportion of cellulose in insoluble fiber is 30%. </t>
        </r>
      </text>
    </comment>
    <comment ref="P23" authorId="0">
      <text>
        <r>
          <rPr>
            <sz val="10"/>
            <rFont val="Tahoma"/>
            <family val="2"/>
          </rPr>
          <t>An average calculation of protein content from rape and mustardseed are calculated</t>
        </r>
      </text>
    </comment>
  </commentList>
</comments>
</file>

<file path=xl/comments5.xml><?xml version="1.0" encoding="utf-8"?>
<comments xmlns="http://schemas.openxmlformats.org/spreadsheetml/2006/main">
  <authors>
    <author>Jk</author>
  </authors>
  <commentList>
    <comment ref="F4" authorId="0">
      <text>
        <r>
          <rPr>
            <u val="single"/>
            <sz val="10"/>
            <rFont val="Tahoma"/>
            <family val="2"/>
          </rPr>
          <t>Explanation of calculation:</t>
        </r>
        <r>
          <rPr>
            <sz val="10"/>
            <rFont val="Tahoma"/>
            <family val="2"/>
          </rPr>
          <t xml:space="preserve">
=(X*Y)
X = Total dietary fiber for item (from Chemical composition of raw materials.xlsx)
Y = Waste volume 2007 (column D)</t>
        </r>
      </text>
    </comment>
    <comment ref="G4" authorId="0">
      <text>
        <r>
          <rPr>
            <u val="single"/>
            <sz val="10"/>
            <rFont val="Tahoma"/>
            <family val="2"/>
          </rPr>
          <t>Explanation of calculation:</t>
        </r>
        <r>
          <rPr>
            <sz val="10"/>
            <rFont val="Tahoma"/>
            <family val="2"/>
          </rPr>
          <t xml:space="preserve">
=(X*Y)
X = Insoluble fiber for item (from Chemical composition of raw materials.xlsx)
Y = Waste volume 2007 (column D)</t>
        </r>
      </text>
    </comment>
    <comment ref="H4" authorId="0">
      <text>
        <r>
          <rPr>
            <u val="single"/>
            <sz val="10"/>
            <rFont val="Tahoma"/>
            <family val="2"/>
          </rPr>
          <t>Explanation of calculation:</t>
        </r>
        <r>
          <rPr>
            <sz val="10"/>
            <rFont val="Tahoma"/>
            <family val="2"/>
          </rPr>
          <t xml:space="preserve">
=(X*Y)
X = Cellulose content for item (from Chemical composition of raw materials.xlsx)
Y = Waste volume 2007 (column D)</t>
        </r>
      </text>
    </comment>
    <comment ref="N4" authorId="0">
      <text>
        <r>
          <rPr>
            <u val="single"/>
            <sz val="10"/>
            <rFont val="Tahoma"/>
            <family val="2"/>
          </rPr>
          <t>Explanation of calculation:</t>
        </r>
        <r>
          <rPr>
            <sz val="10"/>
            <rFont val="Tahoma"/>
            <family val="2"/>
          </rPr>
          <t xml:space="preserve">
=(X*600)*(4/5,67)
X = Cellulose content (column H)
600 = 1 ton cellulose is 600 liters of spirits
4 = 4 kr per litre ethanol
5,67 = Exchange rate USDNOK [16.03.2011 - 12:55]</t>
        </r>
      </text>
    </comment>
    <comment ref="O4" authorId="0">
      <text>
        <r>
          <rPr>
            <u val="single"/>
            <sz val="10"/>
            <rFont val="Tahoma"/>
            <family val="2"/>
          </rPr>
          <t xml:space="preserve">Explanation of calculation:
</t>
        </r>
        <r>
          <rPr>
            <sz val="10"/>
            <rFont val="Tahoma"/>
            <family val="2"/>
          </rPr>
          <t>=(X*Y)*13585
X = Pectin content in Y (from Chemical composition of raw materials.xlsx)
Y = Waste volume 2007 (column D)
13585 = pectin price per ton (US $13,858 per KG)</t>
        </r>
      </text>
    </comment>
    <comment ref="P4" authorId="0">
      <text>
        <r>
          <rPr>
            <u val="single"/>
            <sz val="10"/>
            <rFont val="Tahoma"/>
            <family val="2"/>
          </rPr>
          <t>Explanation of calculation:</t>
        </r>
        <r>
          <rPr>
            <sz val="10"/>
            <rFont val="Tahoma"/>
            <family val="2"/>
          </rPr>
          <t xml:space="preserve">
=(X*Y)*580
X = Protein content in Y (from Chemical composition of raw materials.xlsx)
Y = Waste volume 2007 (column D)
580 = protein price per ton (calculated in collaboration with Felleskjøpet)
</t>
        </r>
      </text>
    </comment>
    <comment ref="H6" authorId="0">
      <text>
        <r>
          <rPr>
            <sz val="10"/>
            <rFont val="Tahoma"/>
            <family val="2"/>
          </rPr>
          <t>The cellulose content is calculated from total fiber, since we did not found the cellulose value in yams. According to Stefan Backa at Borregaard, we can expect that the proportion of cellulose in total dietary fiber is 20%.
Because of the inaccurate calculation combined with low amount of waste, we get a low value here.</t>
        </r>
      </text>
    </comment>
    <comment ref="O6" authorId="0">
      <text>
        <r>
          <rPr>
            <b/>
            <sz val="8"/>
            <rFont val="Tahoma"/>
            <family val="2"/>
          </rPr>
          <t>Pectin is from whole yam</t>
        </r>
      </text>
    </comment>
    <comment ref="F15" authorId="0">
      <text>
        <r>
          <rPr>
            <sz val="10"/>
            <rFont val="Tahoma"/>
            <family val="2"/>
          </rPr>
          <t>Total dietary fiber from whole potato, not waste</t>
        </r>
      </text>
    </comment>
    <comment ref="G15" authorId="0">
      <text>
        <r>
          <rPr>
            <sz val="10"/>
            <rFont val="Tahoma"/>
            <family val="2"/>
          </rPr>
          <t>Insoluble fiber from whole potato, not waste</t>
        </r>
      </text>
    </comment>
    <comment ref="H15" authorId="0">
      <text>
        <r>
          <rPr>
            <sz val="10"/>
            <rFont val="Tahoma"/>
            <family val="2"/>
          </rPr>
          <t>The cellulose content is calculated from insoluble fiber, since we did not found the cellulose value in sweet potatoes. According to Stefan Backa at Borregaard can we expect that the proportion of cellulose in insoluble fiber is 30%. The values are obtained from the whole potato, not waste.</t>
        </r>
      </text>
    </comment>
    <comment ref="O15" authorId="0">
      <text>
        <r>
          <rPr>
            <sz val="10"/>
            <rFont val="Tahoma"/>
            <family val="2"/>
          </rPr>
          <t>Pectin value from whole potato, not waste</t>
        </r>
      </text>
    </comment>
    <comment ref="H20" authorId="0">
      <text>
        <r>
          <rPr>
            <sz val="10"/>
            <rFont val="Tahoma"/>
            <family val="2"/>
          </rPr>
          <t xml:space="preserve">The cellulose content is calculated from insoluble fiber, since we did not found the cellulose value in onions. According to Stefan Backa at Borregaard can we expect that the proportion of cellulose in insoluble fiber is 30%. </t>
        </r>
      </text>
    </comment>
  </commentList>
</comments>
</file>

<file path=xl/comments6.xml><?xml version="1.0" encoding="utf-8"?>
<comments xmlns="http://schemas.openxmlformats.org/spreadsheetml/2006/main">
  <authors>
    <author>Jk</author>
  </authors>
  <commentList>
    <comment ref="G6" authorId="0">
      <text>
        <r>
          <rPr>
            <sz val="10"/>
            <rFont val="Tahoma"/>
            <family val="2"/>
          </rPr>
          <t xml:space="preserve">Explanation of calculation:
Total dietary fiber and insoluble fiber is omitted here, because cellulose is the 
determinant factor.
=X*Y
X = Cellulose content for item (from Chemical content of raw materials.xlsx)
Y = Waste volume 2007 (column E) </t>
        </r>
        <r>
          <rPr>
            <sz val="10"/>
            <rFont val="Times New Roman"/>
            <family val="1"/>
          </rPr>
          <t xml:space="preserve">
</t>
        </r>
      </text>
    </comment>
    <comment ref="J6" authorId="0">
      <text>
        <r>
          <rPr>
            <u val="single"/>
            <sz val="10"/>
            <rFont val="Tahoma"/>
            <family val="2"/>
          </rPr>
          <t>Explanation of calculation:</t>
        </r>
        <r>
          <rPr>
            <b/>
            <sz val="8"/>
            <rFont val="Tahoma"/>
            <family val="2"/>
          </rPr>
          <t xml:space="preserve">
</t>
        </r>
        <r>
          <rPr>
            <sz val="10"/>
            <rFont val="Tahoma"/>
            <family val="2"/>
          </rPr>
          <t xml:space="preserve">
=(X*600)*(4/5,67)
X = Cellulose content (column G)
600 = 1 ton cellulose is 600 liters of spirits
4 = 4 kr per litre ethanol
5,67 = Exchange rate USDNOK [16.03.2011 - 12:55]</t>
        </r>
      </text>
    </comment>
    <comment ref="K6" authorId="0">
      <text>
        <r>
          <rPr>
            <u val="single"/>
            <sz val="10"/>
            <rFont val="Tahoma"/>
            <family val="2"/>
          </rPr>
          <t>Explanation of calculation:</t>
        </r>
        <r>
          <rPr>
            <sz val="10"/>
            <rFont val="Tahoma"/>
            <family val="2"/>
          </rPr>
          <t xml:space="preserve">
=(X*Y)*13585
X = Pectin content in Y (from Chemical composition of raw materials.xlsx)
Y = Waste volume 2007 (column E)
13585 = pectin price per ton (US $13,858 per KG)</t>
        </r>
      </text>
    </comment>
    <comment ref="L6" authorId="0">
      <text>
        <r>
          <rPr>
            <u val="single"/>
            <sz val="10"/>
            <rFont val="Tahoma"/>
            <family val="2"/>
          </rPr>
          <t>Explanation of calculation:</t>
        </r>
        <r>
          <rPr>
            <sz val="10"/>
            <rFont val="Tahoma"/>
            <family val="2"/>
          </rPr>
          <t xml:space="preserve">
=(X*Y)*580
X = Protein content in Y (from Chemical composition of raw materials.xlsx)
Y = Waste volume 2007 (column E)
580 = protein price per ton (calculated in collaboration with Felleskjøpet)</t>
        </r>
      </text>
    </comment>
    <comment ref="G22" authorId="0">
      <text>
        <r>
          <rPr>
            <sz val="10"/>
            <rFont val="Tahoma"/>
            <family val="2"/>
          </rPr>
          <t xml:space="preserve">Explanation of calculation:
=X*Y
X = Cellulose content from Chemical content of raw materials.xlsx
Y = Waste volume 2007 (column E) </t>
        </r>
      </text>
    </comment>
    <comment ref="J22" authorId="0">
      <text>
        <r>
          <rPr>
            <sz val="10"/>
            <rFont val="Tahoma"/>
            <family val="2"/>
          </rPr>
          <t>Explanation of calculation:
=(X*600)*(4/5,67)
X = Cellulose content (column G)
600 = 1 ton cellulose is 600 liters of spirits
4 = 4 kr per litre ethanol
5,67 = Exchange rate USDNOK [16.03.2011 - 12:55]</t>
        </r>
      </text>
    </comment>
    <comment ref="K22" authorId="0">
      <text>
        <r>
          <rPr>
            <sz val="10"/>
            <rFont val="Tahoma"/>
            <family val="2"/>
          </rPr>
          <t>Explanation of calculation:
=(X*Y)*13585
X = Pectin content in Y (from Chemical composition raw materials average.xls
Y = Waste volume 2007 (column E)
13585 = pectin price per ton (US $13,858 per KG)</t>
        </r>
      </text>
    </comment>
    <comment ref="L22" authorId="0">
      <text>
        <r>
          <rPr>
            <sz val="10"/>
            <rFont val="Tahoma"/>
            <family val="2"/>
          </rPr>
          <t>Explanation of calculation:
=(X*Y)*580
X = Protein content in Y (from Chemical composition raw materials average.xls)
Y = Waste volume 2007 (column E)
580 = protein price per ton (calculated in collaboration with Felleskjøpet)</t>
        </r>
      </text>
    </comment>
    <comment ref="G75" authorId="0">
      <text>
        <r>
          <rPr>
            <sz val="10"/>
            <rFont val="Tahoma"/>
            <family val="2"/>
          </rPr>
          <t>The cellulose content is calculated from total fiber, since we did not found the cellulose value in yams. According to Stefan Backa at Borregaard, we can expect that the proportion of cellulose in total dietary fiber is 20%.</t>
        </r>
      </text>
    </comment>
    <comment ref="K75" authorId="0">
      <text>
        <r>
          <rPr>
            <sz val="10"/>
            <rFont val="Tahoma"/>
            <family val="2"/>
          </rPr>
          <t>Calculated from whole yams, not waste</t>
        </r>
        <r>
          <rPr>
            <b/>
            <sz val="8"/>
            <rFont val="Tahoma"/>
            <family val="2"/>
          </rPr>
          <t xml:space="preserve">
</t>
        </r>
      </text>
    </comment>
    <comment ref="G76" authorId="0">
      <text>
        <r>
          <rPr>
            <sz val="10"/>
            <rFont val="Tahoma"/>
            <family val="2"/>
          </rPr>
          <t>The cellulose content is calculated from total fiber, since we did not found the cellulose value in yams. According to Stefan Backa at Borregaard, we can expect that the proportion of cellulose in total dietary fiber is 20%.</t>
        </r>
      </text>
    </comment>
    <comment ref="K76" authorId="0">
      <text>
        <r>
          <rPr>
            <sz val="10"/>
            <rFont val="Tahoma"/>
            <family val="2"/>
          </rPr>
          <t xml:space="preserve">Calculated from whole yams, not waste
</t>
        </r>
      </text>
    </comment>
    <comment ref="G77" authorId="0">
      <text>
        <r>
          <rPr>
            <sz val="10"/>
            <rFont val="Tahoma"/>
            <family val="2"/>
          </rPr>
          <t>The cellulose content is calculated from total fiber, since we did not found the cellulose value in yams. According to Stefan Backa at Borregaard, we can expect that the proportion of cellulose in total dietary fiber is 20%.</t>
        </r>
      </text>
    </comment>
    <comment ref="K77" authorId="0">
      <text>
        <r>
          <rPr>
            <sz val="10"/>
            <rFont val="Tahoma"/>
            <family val="2"/>
          </rPr>
          <t xml:space="preserve">Calculated from whole yams, not waste
</t>
        </r>
      </text>
    </comment>
  </commentList>
</comments>
</file>

<file path=xl/sharedStrings.xml><?xml version="1.0" encoding="utf-8"?>
<sst xmlns="http://schemas.openxmlformats.org/spreadsheetml/2006/main" count="3904" uniqueCount="241">
  <si>
    <t>Country</t>
  </si>
  <si>
    <t>Rice (Paddy E.)</t>
  </si>
  <si>
    <t>Rice (Milled E.)</t>
  </si>
  <si>
    <t>Nigeria</t>
  </si>
  <si>
    <t>Ghana</t>
  </si>
  <si>
    <t>Angola</t>
  </si>
  <si>
    <t>Côte d'Ivoire</t>
  </si>
  <si>
    <t>Egypt</t>
  </si>
  <si>
    <t>Tanzania</t>
  </si>
  <si>
    <t>The three highest waste sources in the top three countries for each continent</t>
  </si>
  <si>
    <t>Pectin (pectin price)</t>
  </si>
  <si>
    <t>V = USD 1000</t>
  </si>
  <si>
    <t>Q</t>
  </si>
  <si>
    <t>V</t>
  </si>
  <si>
    <t>Korea Rep</t>
  </si>
  <si>
    <t>Japan</t>
  </si>
  <si>
    <t>Korea D P Rp</t>
  </si>
  <si>
    <t>Malaysia</t>
  </si>
  <si>
    <t>Vietnam</t>
  </si>
  <si>
    <t>Chile</t>
  </si>
  <si>
    <t>Cambodia</t>
  </si>
  <si>
    <t>Zanzibar</t>
  </si>
  <si>
    <t>China,Taiwan</t>
  </si>
  <si>
    <t>Kiribati</t>
  </si>
  <si>
    <t>South Africa</t>
  </si>
  <si>
    <t>Madagascar</t>
  </si>
  <si>
    <t>Russian Fed</t>
  </si>
  <si>
    <t>Solomon Is</t>
  </si>
  <si>
    <t>Timor-Leste</t>
  </si>
  <si>
    <t>Mozambique</t>
  </si>
  <si>
    <t>Burkina Faso</t>
  </si>
  <si>
    <t>Fiji Islands</t>
  </si>
  <si>
    <t>Namibia</t>
  </si>
  <si>
    <t>Spain</t>
  </si>
  <si>
    <t>St Lucia</t>
  </si>
  <si>
    <t>Source:</t>
  </si>
  <si>
    <t>ftp://ftp.fao.org/FI/CDrom/CD_yearbook_2008/navigation/index_content_aquaculture_e.htm</t>
  </si>
  <si>
    <t>ftp://ftp.fao.org/fi/stat/summary/a-5.pdf</t>
  </si>
  <si>
    <t>World total</t>
  </si>
  <si>
    <t>Total dietary fiber</t>
  </si>
  <si>
    <t>Insoluble fiber</t>
  </si>
  <si>
    <t>Cellulose</t>
  </si>
  <si>
    <t xml:space="preserve">World aquaculture production of aquatic plants by producers in 2008 in tons </t>
  </si>
  <si>
    <t>(FAO's definition for Aquatic plants is brown seaweeds, red seaweeds, green seaweeds, miscellaneous aquatic plants)</t>
  </si>
  <si>
    <t>Q=t</t>
  </si>
  <si>
    <t>http://faostat.fao.org/site/616/default.aspx#ancor</t>
  </si>
  <si>
    <t>Sunflowerseed Oil</t>
  </si>
  <si>
    <t>Sweet Potatoes</t>
  </si>
  <si>
    <t>Sweeteners, Other</t>
  </si>
  <si>
    <t>Tea</t>
  </si>
  <si>
    <t>Tobacco</t>
  </si>
  <si>
    <t>Tomatoes</t>
  </si>
  <si>
    <t>Vegetables, Other</t>
  </si>
  <si>
    <t>Wheat</t>
  </si>
  <si>
    <t>Wine</t>
  </si>
  <si>
    <t>Yams</t>
  </si>
  <si>
    <t>Alcoholic Beverages + (Total)</t>
  </si>
  <si>
    <t>Cereals - Excluding Beer + (Total)</t>
  </si>
  <si>
    <t>Fruits - Excluding Wine + (Total)</t>
  </si>
  <si>
    <t>Oilcrops + (Total)</t>
  </si>
  <si>
    <t>Pulses + (Total)</t>
  </si>
  <si>
    <t>Spices + (Total)</t>
  </si>
  <si>
    <t>Starchy Roots + (Total)</t>
  </si>
  <si>
    <t>Total dietary fiber</t>
  </si>
  <si>
    <t>Insoluble fiber</t>
  </si>
  <si>
    <t>Cellulose</t>
  </si>
  <si>
    <t xml:space="preserve"> - </t>
  </si>
  <si>
    <t>Stimulants + (Total)</t>
  </si>
  <si>
    <t>Sugar &amp; Sweeteners + (Total)</t>
  </si>
  <si>
    <t>Sugarcrops + (Total)</t>
  </si>
  <si>
    <t>Treenuts + (Total)</t>
  </si>
  <si>
    <t>Vegetable Oils + (Total)</t>
  </si>
  <si>
    <t>Vegetables + (Total)</t>
  </si>
  <si>
    <t>Countries</t>
  </si>
  <si>
    <t>Item</t>
  </si>
  <si>
    <t>Element</t>
  </si>
  <si>
    <t>Fibervolume</t>
  </si>
  <si>
    <t>World</t>
  </si>
  <si>
    <t>Asia</t>
  </si>
  <si>
    <t xml:space="preserve"> - </t>
  </si>
  <si>
    <t>Europe</t>
  </si>
  <si>
    <t>Northern America</t>
  </si>
  <si>
    <t>South America</t>
  </si>
  <si>
    <t>-</t>
  </si>
  <si>
    <t>Value</t>
  </si>
  <si>
    <t>Cellulose (etanol price)</t>
  </si>
  <si>
    <t xml:space="preserve">Alternative waste </t>
  </si>
  <si>
    <t>Animalfeed (Protein price)</t>
  </si>
  <si>
    <t>America</t>
  </si>
  <si>
    <t>Northern America + (Total)</t>
  </si>
  <si>
    <t>Central America + (Total)</t>
  </si>
  <si>
    <t>Central America + (Total)</t>
  </si>
  <si>
    <t>Central America + (Total)</t>
  </si>
  <si>
    <t>South America + (Total)</t>
  </si>
  <si>
    <t>South America + (Total)</t>
  </si>
  <si>
    <t>South America + (Total)</t>
  </si>
  <si>
    <t>Central Asia + (Total)</t>
  </si>
  <si>
    <t>Central Asia + (Total)</t>
  </si>
  <si>
    <t>Eastern Asia + (Total)</t>
  </si>
  <si>
    <t>Eastern Asia + (Total)</t>
  </si>
  <si>
    <t>Southern Asia + (Total)</t>
  </si>
  <si>
    <t>Southern Asia + (Total)</t>
  </si>
  <si>
    <t>South-Eastern Asia + (Total)</t>
  </si>
  <si>
    <t>Africa</t>
  </si>
  <si>
    <t>Ranked on cellulose content</t>
  </si>
  <si>
    <t>Ranking</t>
  </si>
  <si>
    <t xml:space="preserve">Oats </t>
  </si>
  <si>
    <t>Rape and M. seed</t>
  </si>
  <si>
    <t>Rice (Paddy Equialent)</t>
  </si>
  <si>
    <t xml:space="preserve">Item </t>
  </si>
  <si>
    <t>Soyabean oil</t>
  </si>
  <si>
    <t>Coconuts</t>
  </si>
  <si>
    <t>Rice (Paddy equivalent)</t>
  </si>
  <si>
    <t>Sweet potatoes</t>
  </si>
  <si>
    <t>Cocunuts</t>
  </si>
  <si>
    <t>Rice (Milld Equivalent)</t>
  </si>
  <si>
    <t>Brazil</t>
  </si>
  <si>
    <t>India</t>
  </si>
  <si>
    <t>Philippines</t>
  </si>
  <si>
    <t>China</t>
  </si>
  <si>
    <t>Indonesia</t>
  </si>
  <si>
    <t>Mexico</t>
  </si>
  <si>
    <t>Poland</t>
  </si>
  <si>
    <t>Germany</t>
  </si>
  <si>
    <t>France</t>
  </si>
  <si>
    <t>Turkey</t>
  </si>
  <si>
    <t>Ukraine</t>
  </si>
  <si>
    <t>Serbia</t>
  </si>
  <si>
    <t>Greece</t>
  </si>
  <si>
    <t>Ecuador</t>
  </si>
  <si>
    <t>Canada</t>
  </si>
  <si>
    <t>Paraguay</t>
  </si>
  <si>
    <t>Peru</t>
  </si>
  <si>
    <t>South-Eastern Asia + (Total)</t>
  </si>
  <si>
    <t>Western Asia + (Total)</t>
  </si>
  <si>
    <t>Eastern Europe + (Total)</t>
  </si>
  <si>
    <t>Eastern Europe + (Total)</t>
  </si>
  <si>
    <t>Northern Europe + (Total)</t>
  </si>
  <si>
    <t>Northern Europe + (Total)</t>
  </si>
  <si>
    <t>Southern Europe + (Total)</t>
  </si>
  <si>
    <t>Southern Europe + (Total)</t>
  </si>
  <si>
    <t>Western Europe + (Total)</t>
  </si>
  <si>
    <t>Western Europe + (Total)</t>
  </si>
  <si>
    <t>Oceania + (Total)</t>
  </si>
  <si>
    <t>Australia and New Zealand + (Total)</t>
  </si>
  <si>
    <t>countries</t>
  </si>
  <si>
    <t>item</t>
  </si>
  <si>
    <t>element</t>
  </si>
  <si>
    <t>Alcohol, Non-Food</t>
  </si>
  <si>
    <t>Waste (tonnes)</t>
  </si>
  <si>
    <t>Apples</t>
  </si>
  <si>
    <t>Bananas</t>
  </si>
  <si>
    <t>Barley</t>
  </si>
  <si>
    <t>Beans</t>
  </si>
  <si>
    <t>Beer</t>
  </si>
  <si>
    <t>Beverages, Fermented</t>
  </si>
  <si>
    <t>Brans</t>
  </si>
  <si>
    <t>Cassava</t>
  </si>
  <si>
    <t>Cereals, Other</t>
  </si>
  <si>
    <t>Citrus, Other</t>
  </si>
  <si>
    <t>Cloves</t>
  </si>
  <si>
    <t>Cocoa Beans</t>
  </si>
  <si>
    <t>Coconut Oil</t>
  </si>
  <si>
    <t>Coconuts - Incl Copra</t>
  </si>
  <si>
    <t>Coffee</t>
  </si>
  <si>
    <t>Cotton Lint</t>
  </si>
  <si>
    <t>Cottonseed</t>
  </si>
  <si>
    <t>Cottonseed Oil</t>
  </si>
  <si>
    <t>Dates</t>
  </si>
  <si>
    <t>Fruits, Other</t>
  </si>
  <si>
    <t>Grapefruit</t>
  </si>
  <si>
    <t>Grapes</t>
  </si>
  <si>
    <t>Groundnut Oil</t>
  </si>
  <si>
    <t>Groundnuts (in Shell Eq)</t>
  </si>
  <si>
    <t>Groundnuts (Shelled Eq)</t>
  </si>
  <si>
    <t>Hard Fibres, Other</t>
  </si>
  <si>
    <t>Jute</t>
  </si>
  <si>
    <t>Jute-Like Fibres</t>
  </si>
  <si>
    <t>Lemons, Limes</t>
  </si>
  <si>
    <t>Maize</t>
  </si>
  <si>
    <t>Maize Germ Oil</t>
  </si>
  <si>
    <t>Millet</t>
  </si>
  <si>
    <t>Molasses</t>
  </si>
  <si>
    <t>Nuts</t>
  </si>
  <si>
    <t>Oats</t>
  </si>
  <si>
    <t>Oilcrops Oil, Other</t>
  </si>
  <si>
    <t>Oilcrops, Other</t>
  </si>
  <si>
    <t>Olives</t>
  </si>
  <si>
    <t>Onions</t>
  </si>
  <si>
    <t>Oranges, Mandarines</t>
  </si>
  <si>
    <t>Palm Oil</t>
  </si>
  <si>
    <t>Palmkernel Oil</t>
  </si>
  <si>
    <t>Palmkernels</t>
  </si>
  <si>
    <t>Peas</t>
  </si>
  <si>
    <t>Pepper</t>
  </si>
  <si>
    <t>Pimento</t>
  </si>
  <si>
    <t>Pineapples</t>
  </si>
  <si>
    <t>Plantains</t>
  </si>
  <si>
    <t>Potatoes</t>
  </si>
  <si>
    <t>Pulses, Other</t>
  </si>
  <si>
    <t>Rape and Mustard Oil</t>
  </si>
  <si>
    <t>Rape and Mustardseed</t>
  </si>
  <si>
    <t>Rice (Milled Equivalent)</t>
  </si>
  <si>
    <t>Rice (Paddy Equivalent)</t>
  </si>
  <si>
    <t>Roots &amp; Tuber Dry Equiv</t>
  </si>
  <si>
    <t>Roots, Other</t>
  </si>
  <si>
    <t>Rye</t>
  </si>
  <si>
    <t>Sesameseed</t>
  </si>
  <si>
    <t>Sesameseed Oil</t>
  </si>
  <si>
    <t>Sisal</t>
  </si>
  <si>
    <t>Soft-Fibres, Other</t>
  </si>
  <si>
    <t>Sorghum</t>
  </si>
  <si>
    <t>Soyabean Oil</t>
  </si>
  <si>
    <t>Soyabeans</t>
  </si>
  <si>
    <t>Spices, Other</t>
  </si>
  <si>
    <t>Sugar (Raw Equivalent)</t>
  </si>
  <si>
    <t>Sugar Beet</t>
  </si>
  <si>
    <t>Rape and (Mustardseed)</t>
  </si>
  <si>
    <t>Rape (and Mustard)seed</t>
  </si>
  <si>
    <t>Sugar Cane</t>
  </si>
  <si>
    <t>Sugar, Non-Centrifugal</t>
  </si>
  <si>
    <t>Sugar, Raw Equivalent</t>
  </si>
  <si>
    <t>Sugar, Refined Equiv</t>
  </si>
  <si>
    <t>Sunflowerseed</t>
  </si>
  <si>
    <t>Russia Federation</t>
  </si>
  <si>
    <t>content</t>
  </si>
  <si>
    <t>Cellulose (etanol value)</t>
  </si>
  <si>
    <t>Pectin (pectine value)</t>
  </si>
  <si>
    <t>Soybean oil</t>
  </si>
  <si>
    <t>Europe (total)</t>
  </si>
  <si>
    <t>World (total)</t>
  </si>
  <si>
    <t>America (total)</t>
  </si>
  <si>
    <t>Rape and mustardseed</t>
  </si>
  <si>
    <t xml:space="preserve">Sweet potatoes </t>
  </si>
  <si>
    <t>Asia (total)</t>
  </si>
  <si>
    <t>Africa (total)</t>
  </si>
  <si>
    <t>Animal feed (Protein value)</t>
  </si>
  <si>
    <t>Animal feed (value)</t>
  </si>
  <si>
    <t>Pectin (pectin value)</t>
  </si>
  <si>
    <t>Access date: 09.02.11</t>
  </si>
  <si>
    <t>Access date: 03.02.11</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</si>
</sst>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0"/>
      <name val="Verdana"/>
      <family val="2"/>
    </font>
    <font>
      <sz val="10"/>
      <name val="Arial"/>
      <family val="2"/>
    </font>
    <font>
      <sz val="10"/>
      <name val="Times"/>
      <family val="2"/>
    </font>
    <font>
      <b/>
      <sz val="10"/>
      <name val="Times"/>
      <family val="2"/>
    </font>
    <font>
      <sz val="8"/>
      <name val="Verdana"/>
      <family val="2"/>
    </font>
    <font>
      <sz val="10"/>
      <name val="Times New Roman"/>
      <family val="1"/>
    </font>
    <font>
      <b/>
      <sz val="10"/>
      <name val="Times New Roman"/>
      <family val="1"/>
    </font>
    <font>
      <sz val="12"/>
      <name val="Times New Roman"/>
      <family val="1"/>
    </font>
    <font>
      <b/>
      <sz val="12"/>
      <name val="Times New Roman"/>
      <family val="1"/>
    </font>
    <font>
      <sz val="10"/>
      <color indexed="10"/>
      <name val="Times New Roman"/>
      <family val="1"/>
    </font>
    <font>
      <sz val="8"/>
      <name val="Tahoma"/>
      <family val="2"/>
    </font>
    <font>
      <b/>
      <sz val="8"/>
      <name val="Tahoma"/>
      <family val="2"/>
    </font>
    <font>
      <sz val="10"/>
      <name val="Tahoma"/>
      <family val="2"/>
    </font>
    <font>
      <sz val="10"/>
      <color indexed="8"/>
      <name val="Times New Roman"/>
      <family val="1"/>
    </font>
    <font>
      <sz val="10"/>
      <color indexed="63"/>
      <name val="Times New Roman"/>
      <family val="1"/>
    </font>
    <font>
      <sz val="11"/>
      <color indexed="8"/>
      <name val="Times New Roman"/>
      <family val="1"/>
    </font>
    <font>
      <sz val="11"/>
      <name val="Verdana"/>
      <family val="2"/>
    </font>
    <font>
      <sz val="12"/>
      <color indexed="8"/>
      <name val="Times New Roman"/>
      <family val="1"/>
    </font>
    <font>
      <sz val="11"/>
      <name val="Times New Roman"/>
      <family val="1"/>
    </font>
    <font>
      <u val="single"/>
      <sz val="11"/>
      <color indexed="12"/>
      <name val="Times New Roman"/>
      <family val="1"/>
    </font>
    <font>
      <u val="single"/>
      <sz val="10"/>
      <name val="Tahoma"/>
      <family val="2"/>
    </font>
    <font>
      <u val="single"/>
      <sz val="11"/>
      <color theme="10"/>
      <name val="Calibri"/>
      <family val="2"/>
      <scheme val="minor"/>
    </font>
    <font>
      <sz val="10"/>
      <color theme="1"/>
      <name val="Times New Roman"/>
      <family val="1"/>
    </font>
    <font>
      <sz val="12"/>
      <name val="Verdana"/>
      <family val="2"/>
    </font>
    <font>
      <u val="single"/>
      <sz val="12"/>
      <color indexed="12"/>
      <name val="Times New Roman"/>
      <family val="1"/>
    </font>
    <font>
      <b/>
      <sz val="10"/>
      <color theme="1"/>
      <name val="Times New Roman"/>
      <family val="1"/>
    </font>
    <font>
      <b/>
      <sz val="8"/>
      <name val="Verdana"/>
      <family val="2"/>
    </font>
  </fonts>
  <fills count="6">
    <fill>
      <patternFill/>
    </fill>
    <fill>
      <patternFill patternType="gray125"/>
    </fill>
    <fill>
      <patternFill patternType="solid">
        <fgColor indexed="22"/>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s>
  <borders count="22">
    <border>
      <left/>
      <right/>
      <top/>
      <bottom/>
      <diagonal/>
    </border>
    <border>
      <left style="thin">
        <color indexed="8"/>
      </left>
      <right style="thin">
        <color indexed="8"/>
      </right>
      <top style="thin">
        <color indexed="8"/>
      </top>
      <bottom style="thin">
        <color indexed="8"/>
      </bottom>
    </border>
    <border>
      <left style="thin"/>
      <right/>
      <top/>
      <bottom/>
    </border>
    <border>
      <left style="thin">
        <color indexed="8"/>
      </left>
      <right style="thin"/>
      <top style="thin">
        <color indexed="8"/>
      </top>
      <bottom style="thin">
        <color indexed="8"/>
      </bottom>
    </border>
    <border>
      <left style="thin"/>
      <right/>
      <top style="thin"/>
      <bottom/>
    </border>
    <border>
      <left/>
      <right/>
      <top style="thin"/>
      <bottom/>
    </border>
    <border>
      <left/>
      <right style="thin"/>
      <top/>
      <bottom/>
    </border>
    <border>
      <left/>
      <right style="thin"/>
      <top style="thin"/>
      <bottom style="thin"/>
    </border>
    <border>
      <left style="thin"/>
      <right style="thin"/>
      <top style="thin"/>
      <bottom style="thin"/>
    </border>
    <border>
      <left style="thin"/>
      <right/>
      <top/>
      <bottom style="thin"/>
    </border>
    <border>
      <left/>
      <right/>
      <top/>
      <bottom style="thin"/>
    </border>
    <border>
      <left/>
      <right style="thin"/>
      <top/>
      <bottom style="thin"/>
    </border>
    <border>
      <left/>
      <right style="thin"/>
      <top style="thin"/>
      <bottom/>
    </border>
    <border>
      <left style="thin"/>
      <right/>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
      <left style="thin">
        <color indexed="8"/>
      </left>
      <right style="thin">
        <color indexed="8"/>
      </right>
      <top/>
      <bottom style="thin">
        <color indexed="8"/>
      </bottom>
    </border>
    <border>
      <left style="thin">
        <color indexed="8"/>
      </left>
      <right/>
      <top/>
      <bottom style="thin">
        <color indexed="8"/>
      </bottom>
    </border>
    <border>
      <left style="thin">
        <color indexed="8"/>
      </left>
      <right style="thin">
        <color indexed="8"/>
      </right>
      <top style="thin">
        <color indexed="8"/>
      </top>
      <bottom style="thin"/>
    </border>
    <border>
      <left style="thin">
        <color indexed="8"/>
      </left>
      <right style="thin"/>
      <top style="thin">
        <color indexed="8"/>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0" borderId="0" applyNumberFormat="0" applyFill="0" applyBorder="0" applyAlignment="0" applyProtection="0"/>
  </cellStyleXfs>
  <cellXfs count="289">
    <xf numFmtId="0" fontId="0" fillId="0" borderId="0" xfId="0"/>
    <xf numFmtId="0" fontId="0" fillId="0" borderId="1" xfId="0" applyBorder="1" applyAlignment="1">
      <alignment wrapText="1"/>
    </xf>
    <xf numFmtId="0" fontId="2" fillId="0" borderId="1" xfId="0" applyFont="1" applyBorder="1" applyAlignment="1">
      <alignment wrapText="1"/>
    </xf>
    <xf numFmtId="0" fontId="3" fillId="2" borderId="1" xfId="0" applyFont="1" applyFill="1" applyBorder="1" applyAlignment="1">
      <alignment horizontal="center" vertical="center" wrapText="1"/>
    </xf>
    <xf numFmtId="0" fontId="0" fillId="0" borderId="0" xfId="0" applyFill="1"/>
    <xf numFmtId="0" fontId="0" fillId="0" borderId="0" xfId="0" applyFont="1"/>
    <xf numFmtId="2" fontId="0" fillId="0" borderId="0" xfId="0" applyNumberFormat="1"/>
    <xf numFmtId="0" fontId="0" fillId="0" borderId="0" xfId="0" applyAlignment="1">
      <alignment horizontal="center"/>
    </xf>
    <xf numFmtId="0" fontId="0" fillId="0" borderId="2" xfId="0" applyBorder="1"/>
    <xf numFmtId="0" fontId="5" fillId="0" borderId="0" xfId="0" applyFont="1"/>
    <xf numFmtId="0" fontId="6" fillId="3" borderId="1" xfId="0" applyFont="1" applyFill="1" applyBorder="1" applyAlignment="1">
      <alignment horizontal="center" vertical="center" wrapText="1"/>
    </xf>
    <xf numFmtId="0" fontId="5" fillId="0" borderId="1" xfId="0" applyFont="1" applyFill="1" applyBorder="1" applyAlignment="1">
      <alignment wrapText="1"/>
    </xf>
    <xf numFmtId="3" fontId="5" fillId="0" borderId="1" xfId="0" applyNumberFormat="1" applyFont="1" applyFill="1" applyBorder="1" applyAlignment="1">
      <alignment wrapText="1"/>
    </xf>
    <xf numFmtId="3" fontId="5" fillId="4" borderId="3" xfId="0" applyNumberFormat="1" applyFont="1" applyFill="1" applyBorder="1" applyAlignment="1">
      <alignment wrapText="1"/>
    </xf>
    <xf numFmtId="4" fontId="5" fillId="0" borderId="4" xfId="0" applyNumberFormat="1" applyFont="1" applyFill="1" applyBorder="1" applyAlignment="1">
      <alignment horizontal="center"/>
    </xf>
    <xf numFmtId="4" fontId="5" fillId="0" borderId="5" xfId="0" applyNumberFormat="1" applyFont="1" applyFill="1" applyBorder="1" applyAlignment="1">
      <alignment horizontal="center"/>
    </xf>
    <xf numFmtId="4" fontId="5" fillId="0" borderId="2" xfId="0" applyNumberFormat="1" applyFont="1" applyFill="1" applyBorder="1" applyAlignment="1">
      <alignment horizontal="center"/>
    </xf>
    <xf numFmtId="4" fontId="5" fillId="0" borderId="0" xfId="0" applyNumberFormat="1" applyFont="1" applyFill="1" applyBorder="1" applyAlignment="1">
      <alignment horizontal="center"/>
    </xf>
    <xf numFmtId="4" fontId="5" fillId="0" borderId="6" xfId="0" applyNumberFormat="1" applyFont="1" applyFill="1" applyBorder="1" applyAlignment="1">
      <alignment horizontal="center"/>
    </xf>
    <xf numFmtId="0" fontId="5" fillId="0" borderId="1" xfId="0" applyFont="1" applyBorder="1" applyAlignment="1">
      <alignment wrapText="1"/>
    </xf>
    <xf numFmtId="3" fontId="5" fillId="0" borderId="1" xfId="0" applyNumberFormat="1" applyFont="1" applyBorder="1" applyAlignment="1">
      <alignment wrapText="1"/>
    </xf>
    <xf numFmtId="3" fontId="5" fillId="0" borderId="0" xfId="0" applyNumberFormat="1" applyFont="1"/>
    <xf numFmtId="0" fontId="7" fillId="0" borderId="0" xfId="0" applyFont="1"/>
    <xf numFmtId="0" fontId="6" fillId="3" borderId="3" xfId="0" applyFont="1" applyFill="1" applyBorder="1" applyAlignment="1">
      <alignment horizontal="center" vertical="center" wrapText="1"/>
    </xf>
    <xf numFmtId="0" fontId="6" fillId="5" borderId="6" xfId="0" applyFont="1" applyFill="1" applyBorder="1"/>
    <xf numFmtId="0" fontId="6" fillId="3" borderId="7" xfId="0" applyFont="1" applyFill="1" applyBorder="1" applyAlignment="1">
      <alignment horizontal="center"/>
    </xf>
    <xf numFmtId="0" fontId="6" fillId="3" borderId="8" xfId="0" applyFont="1" applyFill="1" applyBorder="1" applyAlignment="1">
      <alignment horizontal="center"/>
    </xf>
    <xf numFmtId="0" fontId="5" fillId="4" borderId="1" xfId="0" applyFont="1" applyFill="1" applyBorder="1" applyAlignment="1">
      <alignment wrapText="1"/>
    </xf>
    <xf numFmtId="3" fontId="5" fillId="4" borderId="1" xfId="0" applyNumberFormat="1" applyFont="1" applyFill="1" applyBorder="1" applyAlignment="1">
      <alignment wrapText="1"/>
    </xf>
    <xf numFmtId="4" fontId="5" fillId="0" borderId="6" xfId="0" applyNumberFormat="1" applyFont="1" applyBorder="1" applyAlignment="1">
      <alignment horizontal="center"/>
    </xf>
    <xf numFmtId="4" fontId="5" fillId="0" borderId="2" xfId="0" applyNumberFormat="1" applyFont="1" applyBorder="1" applyAlignment="1">
      <alignment horizontal="center"/>
    </xf>
    <xf numFmtId="4" fontId="5" fillId="0" borderId="0" xfId="0" applyNumberFormat="1" applyFont="1" applyBorder="1" applyAlignment="1">
      <alignment horizontal="center"/>
    </xf>
    <xf numFmtId="4" fontId="5" fillId="0" borderId="9" xfId="0" applyNumberFormat="1" applyFont="1" applyBorder="1" applyAlignment="1">
      <alignment horizontal="center"/>
    </xf>
    <xf numFmtId="4" fontId="5" fillId="0" borderId="10" xfId="0" applyNumberFormat="1" applyFont="1" applyBorder="1" applyAlignment="1">
      <alignment horizontal="center"/>
    </xf>
    <xf numFmtId="4" fontId="5" fillId="0" borderId="11" xfId="0" applyNumberFormat="1" applyFont="1" applyBorder="1" applyAlignment="1">
      <alignment horizontal="center"/>
    </xf>
    <xf numFmtId="4" fontId="5" fillId="0" borderId="12" xfId="0" applyNumberFormat="1" applyFont="1" applyBorder="1" applyAlignment="1">
      <alignment horizontal="center"/>
    </xf>
    <xf numFmtId="0" fontId="5" fillId="0" borderId="8" xfId="0" applyFont="1" applyBorder="1" applyAlignment="1">
      <alignment horizontal="center"/>
    </xf>
    <xf numFmtId="2" fontId="5" fillId="0" borderId="2" xfId="0" applyNumberFormat="1" applyFont="1" applyBorder="1" applyAlignment="1">
      <alignment horizontal="center"/>
    </xf>
    <xf numFmtId="2" fontId="5" fillId="0" borderId="0" xfId="0" applyNumberFormat="1" applyFont="1" applyBorder="1" applyAlignment="1">
      <alignment horizontal="center"/>
    </xf>
    <xf numFmtId="2" fontId="5" fillId="0" borderId="6" xfId="0" applyNumberFormat="1" applyFont="1" applyBorder="1" applyAlignment="1">
      <alignment horizontal="center"/>
    </xf>
    <xf numFmtId="2" fontId="5" fillId="0" borderId="9" xfId="0" applyNumberFormat="1" applyFont="1" applyBorder="1" applyAlignment="1">
      <alignment horizontal="center"/>
    </xf>
    <xf numFmtId="2" fontId="5" fillId="0" borderId="10" xfId="0" applyNumberFormat="1" applyFont="1" applyBorder="1" applyAlignment="1">
      <alignment horizontal="center"/>
    </xf>
    <xf numFmtId="2" fontId="5" fillId="0" borderId="11" xfId="0" applyNumberFormat="1" applyFont="1" applyBorder="1" applyAlignment="1">
      <alignment horizontal="center"/>
    </xf>
    <xf numFmtId="0" fontId="9" fillId="0" borderId="1" xfId="0" applyFont="1" applyBorder="1" applyAlignment="1">
      <alignment wrapText="1"/>
    </xf>
    <xf numFmtId="3" fontId="9" fillId="0" borderId="1" xfId="0" applyNumberFormat="1" applyFont="1" applyBorder="1" applyAlignment="1">
      <alignment wrapText="1"/>
    </xf>
    <xf numFmtId="3" fontId="9" fillId="4" borderId="1" xfId="0" applyNumberFormat="1" applyFont="1" applyFill="1" applyBorder="1" applyAlignment="1">
      <alignment wrapText="1"/>
    </xf>
    <xf numFmtId="0" fontId="9" fillId="0" borderId="0" xfId="0" applyFont="1"/>
    <xf numFmtId="4" fontId="5" fillId="0" borderId="8" xfId="0" applyNumberFormat="1" applyFont="1" applyBorder="1" applyAlignment="1">
      <alignment horizontal="center"/>
    </xf>
    <xf numFmtId="4" fontId="9" fillId="0" borderId="8" xfId="0" applyNumberFormat="1" applyFont="1" applyBorder="1" applyAlignment="1">
      <alignment horizontal="center"/>
    </xf>
    <xf numFmtId="2" fontId="5" fillId="0" borderId="8" xfId="0" applyNumberFormat="1" applyFont="1" applyBorder="1" applyAlignment="1">
      <alignment horizontal="center"/>
    </xf>
    <xf numFmtId="2" fontId="0" fillId="0" borderId="8" xfId="0" applyNumberFormat="1" applyBorder="1"/>
    <xf numFmtId="3" fontId="0" fillId="0" borderId="0" xfId="0" applyNumberFormat="1" applyFill="1" applyBorder="1" applyAlignment="1">
      <alignment horizontal="center"/>
    </xf>
    <xf numFmtId="3" fontId="0" fillId="0" borderId="0" xfId="0" applyNumberFormat="1" applyBorder="1" applyAlignment="1">
      <alignment horizontal="center"/>
    </xf>
    <xf numFmtId="0" fontId="0" fillId="3" borderId="13" xfId="0" applyFill="1" applyBorder="1"/>
    <xf numFmtId="0" fontId="0" fillId="3" borderId="14" xfId="0" applyFill="1" applyBorder="1"/>
    <xf numFmtId="0" fontId="0" fillId="0" borderId="0" xfId="0" applyBorder="1"/>
    <xf numFmtId="3" fontId="5" fillId="0" borderId="0" xfId="0" applyNumberFormat="1" applyFont="1" applyFill="1" applyBorder="1" applyAlignment="1">
      <alignment horizontal="right"/>
    </xf>
    <xf numFmtId="3" fontId="5" fillId="0" borderId="0" xfId="0" applyNumberFormat="1" applyFont="1" applyBorder="1" applyAlignment="1">
      <alignment horizontal="right"/>
    </xf>
    <xf numFmtId="4" fontId="5" fillId="0" borderId="4" xfId="0" applyNumberFormat="1" applyFont="1" applyFill="1" applyBorder="1" applyAlignment="1">
      <alignment horizontal="right"/>
    </xf>
    <xf numFmtId="4" fontId="5" fillId="0" borderId="5" xfId="0" applyNumberFormat="1" applyFont="1" applyFill="1" applyBorder="1" applyAlignment="1">
      <alignment horizontal="right"/>
    </xf>
    <xf numFmtId="4" fontId="5" fillId="0" borderId="12" xfId="0" applyNumberFormat="1" applyFont="1" applyFill="1" applyBorder="1" applyAlignment="1">
      <alignment horizontal="right"/>
    </xf>
    <xf numFmtId="4" fontId="5" fillId="0" borderId="2" xfId="0" applyNumberFormat="1" applyFont="1" applyFill="1" applyBorder="1" applyAlignment="1">
      <alignment horizontal="right"/>
    </xf>
    <xf numFmtId="4" fontId="5" fillId="0" borderId="0" xfId="0" applyNumberFormat="1" applyFont="1" applyFill="1" applyBorder="1" applyAlignment="1">
      <alignment horizontal="right"/>
    </xf>
    <xf numFmtId="4" fontId="5" fillId="0" borderId="6" xfId="0" applyNumberFormat="1" applyFont="1" applyFill="1" applyBorder="1" applyAlignment="1">
      <alignment horizontal="right"/>
    </xf>
    <xf numFmtId="4" fontId="5" fillId="0" borderId="6" xfId="0" applyNumberFormat="1" applyFont="1" applyBorder="1" applyAlignment="1">
      <alignment horizontal="right"/>
    </xf>
    <xf numFmtId="4" fontId="5" fillId="0" borderId="2" xfId="0" applyNumberFormat="1" applyFont="1" applyBorder="1" applyAlignment="1">
      <alignment horizontal="right"/>
    </xf>
    <xf numFmtId="4" fontId="5" fillId="0" borderId="0" xfId="0" applyNumberFormat="1" applyFont="1" applyBorder="1" applyAlignment="1">
      <alignment horizontal="right"/>
    </xf>
    <xf numFmtId="4" fontId="5" fillId="0" borderId="11" xfId="0" applyNumberFormat="1" applyFont="1" applyBorder="1" applyAlignment="1">
      <alignment horizontal="right"/>
    </xf>
    <xf numFmtId="3" fontId="5" fillId="0" borderId="0" xfId="0" applyNumberFormat="1" applyFont="1" applyFill="1" applyAlignment="1">
      <alignment horizontal="right"/>
    </xf>
    <xf numFmtId="3" fontId="5" fillId="0" borderId="12" xfId="0" applyNumberFormat="1" applyFont="1" applyFill="1" applyBorder="1" applyAlignment="1">
      <alignment horizontal="right"/>
    </xf>
    <xf numFmtId="3" fontId="5" fillId="0" borderId="6" xfId="0" applyNumberFormat="1" applyFont="1" applyFill="1" applyBorder="1" applyAlignment="1">
      <alignment horizontal="right"/>
    </xf>
    <xf numFmtId="3" fontId="5" fillId="0" borderId="6" xfId="0" applyNumberFormat="1" applyFont="1" applyBorder="1" applyAlignment="1">
      <alignment horizontal="right"/>
    </xf>
    <xf numFmtId="3" fontId="5" fillId="0" borderId="11" xfId="0" applyNumberFormat="1" applyFont="1" applyBorder="1" applyAlignment="1">
      <alignment horizontal="right"/>
    </xf>
    <xf numFmtId="3" fontId="0" fillId="0" borderId="0" xfId="0" applyNumberFormat="1" applyBorder="1"/>
    <xf numFmtId="3" fontId="5" fillId="0" borderId="0" xfId="0" applyNumberFormat="1" applyFont="1" applyAlignment="1">
      <alignment horizontal="right"/>
    </xf>
    <xf numFmtId="0" fontId="7" fillId="0" borderId="0" xfId="0" applyFont="1" applyFill="1" applyBorder="1" applyAlignment="1">
      <alignment horizontal="center" vertical="center"/>
    </xf>
    <xf numFmtId="0" fontId="5" fillId="0" borderId="0" xfId="0" applyFont="1" applyFill="1" applyBorder="1" applyAlignment="1">
      <alignment horizontal="center" vertical="center"/>
    </xf>
    <xf numFmtId="4" fontId="5" fillId="0" borderId="11" xfId="0" applyNumberFormat="1" applyFont="1" applyFill="1" applyBorder="1" applyAlignment="1">
      <alignment horizontal="right"/>
    </xf>
    <xf numFmtId="4" fontId="5" fillId="0" borderId="0" xfId="0" applyNumberFormat="1" applyFont="1" applyFill="1" applyBorder="1" applyAlignment="1">
      <alignment horizontal="left"/>
    </xf>
    <xf numFmtId="4" fontId="5" fillId="0" borderId="4" xfId="0" applyNumberFormat="1" applyFont="1" applyFill="1" applyBorder="1" applyAlignment="1">
      <alignment horizontal="left"/>
    </xf>
    <xf numFmtId="4" fontId="5" fillId="0" borderId="2" xfId="0" applyNumberFormat="1" applyFont="1" applyFill="1" applyBorder="1" applyAlignment="1">
      <alignment horizontal="left"/>
    </xf>
    <xf numFmtId="0" fontId="5" fillId="0" borderId="2" xfId="0" applyFont="1" applyFill="1" applyBorder="1"/>
    <xf numFmtId="4" fontId="5" fillId="0" borderId="6" xfId="0" applyNumberFormat="1" applyFont="1" applyFill="1" applyBorder="1"/>
    <xf numFmtId="4" fontId="5" fillId="0" borderId="9" xfId="0" applyNumberFormat="1" applyFont="1" applyFill="1" applyBorder="1" applyAlignment="1">
      <alignment horizontal="left"/>
    </xf>
    <xf numFmtId="4" fontId="5" fillId="0" borderId="0" xfId="0" applyNumberFormat="1" applyFont="1" applyFill="1" applyBorder="1"/>
    <xf numFmtId="0" fontId="0" fillId="3" borderId="8" xfId="0" applyFill="1" applyBorder="1"/>
    <xf numFmtId="0" fontId="5" fillId="0" borderId="0" xfId="0" applyFont="1" applyFill="1" applyBorder="1" applyAlignment="1">
      <alignment horizontal="center"/>
    </xf>
    <xf numFmtId="0" fontId="5" fillId="0" borderId="15" xfId="0" applyFont="1" applyBorder="1"/>
    <xf numFmtId="0" fontId="5" fillId="0" borderId="16" xfId="0" applyFont="1" applyBorder="1"/>
    <xf numFmtId="0" fontId="5" fillId="0" borderId="17" xfId="0" applyFont="1" applyBorder="1"/>
    <xf numFmtId="0" fontId="5" fillId="0" borderId="15" xfId="0" applyFont="1" applyFill="1" applyBorder="1" applyAlignment="1">
      <alignment horizontal="left"/>
    </xf>
    <xf numFmtId="0" fontId="5" fillId="0" borderId="17" xfId="0" applyFont="1" applyFill="1" applyBorder="1" applyAlignment="1">
      <alignment horizontal="left"/>
    </xf>
    <xf numFmtId="0" fontId="5" fillId="0" borderId="6" xfId="0" applyNumberFormat="1" applyFont="1" applyFill="1" applyBorder="1" applyAlignment="1">
      <alignment horizontal="center"/>
    </xf>
    <xf numFmtId="4" fontId="5" fillId="0" borderId="9" xfId="0" applyNumberFormat="1" applyFont="1" applyBorder="1" applyAlignment="1">
      <alignment horizontal="left"/>
    </xf>
    <xf numFmtId="0" fontId="5" fillId="0" borderId="0" xfId="0" applyFont="1" applyFill="1"/>
    <xf numFmtId="0" fontId="5" fillId="0" borderId="0" xfId="0" applyFont="1" applyFill="1" applyBorder="1"/>
    <xf numFmtId="0" fontId="5" fillId="0" borderId="4" xfId="0" applyFont="1" applyBorder="1"/>
    <xf numFmtId="0" fontId="5" fillId="0" borderId="0" xfId="0" applyFont="1" applyBorder="1"/>
    <xf numFmtId="0" fontId="5" fillId="0" borderId="9" xfId="0" applyFont="1" applyBorder="1"/>
    <xf numFmtId="0" fontId="5" fillId="4" borderId="8" xfId="0" applyFont="1" applyFill="1" applyBorder="1" applyAlignment="1">
      <alignment horizontal="center"/>
    </xf>
    <xf numFmtId="0" fontId="5" fillId="4" borderId="18"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8"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8" xfId="0" applyFont="1" applyFill="1" applyBorder="1"/>
    <xf numFmtId="0" fontId="5" fillId="4" borderId="9"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7" xfId="0" applyFont="1" applyFill="1" applyBorder="1" applyAlignment="1">
      <alignment horizontal="center"/>
    </xf>
    <xf numFmtId="0" fontId="5" fillId="4" borderId="13" xfId="0" applyFont="1" applyFill="1" applyBorder="1" applyAlignment="1">
      <alignment horizontal="center" vertical="center"/>
    </xf>
    <xf numFmtId="0" fontId="7" fillId="0" borderId="0" xfId="0" applyFont="1" applyFill="1"/>
    <xf numFmtId="0" fontId="6" fillId="0" borderId="0" xfId="0" applyFont="1" applyFill="1" applyBorder="1"/>
    <xf numFmtId="2" fontId="5" fillId="0" borderId="0" xfId="0" applyNumberFormat="1" applyFont="1" applyFill="1" applyBorder="1" applyAlignment="1">
      <alignment horizontal="center"/>
    </xf>
    <xf numFmtId="0" fontId="5" fillId="0" borderId="16" xfId="0" applyFont="1" applyFill="1" applyBorder="1" applyAlignment="1">
      <alignment horizontal="center" vertical="center"/>
    </xf>
    <xf numFmtId="0" fontId="5" fillId="4" borderId="13" xfId="0" applyFont="1" applyFill="1" applyBorder="1" applyAlignment="1">
      <alignment horizontal="center"/>
    </xf>
    <xf numFmtId="0" fontId="5" fillId="4" borderId="16" xfId="0" applyFont="1" applyFill="1" applyBorder="1"/>
    <xf numFmtId="0" fontId="5" fillId="4" borderId="2" xfId="0" applyFont="1" applyFill="1" applyBorder="1"/>
    <xf numFmtId="3" fontId="5" fillId="0" borderId="15" xfId="0" applyNumberFormat="1" applyFont="1" applyFill="1" applyBorder="1" applyAlignment="1">
      <alignment horizontal="right"/>
    </xf>
    <xf numFmtId="3" fontId="5" fillId="0" borderId="17" xfId="0" applyNumberFormat="1" applyFont="1" applyFill="1" applyBorder="1" applyAlignment="1">
      <alignment horizontal="right"/>
    </xf>
    <xf numFmtId="0" fontId="5" fillId="4" borderId="15" xfId="0" applyFont="1" applyFill="1" applyBorder="1"/>
    <xf numFmtId="0" fontId="5" fillId="4" borderId="2" xfId="0" applyFont="1" applyFill="1" applyBorder="1" applyAlignment="1">
      <alignment horizontal="center" vertical="center"/>
    </xf>
    <xf numFmtId="0" fontId="5" fillId="0" borderId="0" xfId="0" applyFont="1" applyFill="1" applyBorder="1" applyAlignment="1">
      <alignment horizontal="left"/>
    </xf>
    <xf numFmtId="0" fontId="5" fillId="0" borderId="4" xfId="0" applyFont="1" applyFill="1" applyBorder="1" applyAlignment="1">
      <alignment horizontal="left"/>
    </xf>
    <xf numFmtId="3" fontId="5" fillId="0" borderId="5" xfId="0" applyNumberFormat="1" applyFont="1" applyFill="1" applyBorder="1" applyAlignment="1">
      <alignment horizontal="right"/>
    </xf>
    <xf numFmtId="0" fontId="5" fillId="0" borderId="9" xfId="0" applyFont="1" applyFill="1" applyBorder="1" applyAlignment="1">
      <alignment horizontal="left"/>
    </xf>
    <xf numFmtId="3" fontId="5" fillId="0" borderId="10" xfId="0" applyNumberFormat="1" applyFont="1" applyFill="1" applyBorder="1" applyAlignment="1">
      <alignment horizontal="right"/>
    </xf>
    <xf numFmtId="3" fontId="5" fillId="0" borderId="12" xfId="0" applyNumberFormat="1" applyFont="1" applyBorder="1" applyAlignment="1">
      <alignment horizontal="right"/>
    </xf>
    <xf numFmtId="3" fontId="5" fillId="4" borderId="6" xfId="0" applyNumberFormat="1" applyFont="1" applyFill="1" applyBorder="1" applyAlignment="1">
      <alignment horizontal="right"/>
    </xf>
    <xf numFmtId="3" fontId="5" fillId="0" borderId="15" xfId="0" applyNumberFormat="1" applyFont="1" applyBorder="1" applyAlignment="1">
      <alignment horizontal="right"/>
    </xf>
    <xf numFmtId="3" fontId="5" fillId="4" borderId="16" xfId="0" applyNumberFormat="1" applyFont="1" applyFill="1" applyBorder="1" applyAlignment="1">
      <alignment horizontal="right"/>
    </xf>
    <xf numFmtId="3" fontId="5" fillId="0" borderId="17" xfId="0" applyNumberFormat="1" applyFont="1" applyBorder="1" applyAlignment="1">
      <alignment horizontal="right"/>
    </xf>
    <xf numFmtId="3" fontId="5" fillId="0" borderId="11" xfId="0" applyNumberFormat="1" applyFont="1" applyFill="1" applyBorder="1" applyAlignment="1">
      <alignment horizontal="right"/>
    </xf>
    <xf numFmtId="0" fontId="5" fillId="4" borderId="2" xfId="0" applyFont="1" applyFill="1" applyBorder="1" applyAlignment="1">
      <alignment horizontal="left"/>
    </xf>
    <xf numFmtId="3" fontId="5" fillId="4" borderId="0" xfId="0" applyNumberFormat="1" applyFont="1" applyFill="1" applyBorder="1" applyAlignment="1">
      <alignment horizontal="right"/>
    </xf>
    <xf numFmtId="0" fontId="13" fillId="0" borderId="0" xfId="0" applyFont="1"/>
    <xf numFmtId="3" fontId="14" fillId="0" borderId="4" xfId="0" applyNumberFormat="1" applyFont="1" applyBorder="1"/>
    <xf numFmtId="3" fontId="5" fillId="4" borderId="2" xfId="0" applyNumberFormat="1" applyFont="1" applyFill="1" applyBorder="1" applyAlignment="1">
      <alignment horizontal="right"/>
    </xf>
    <xf numFmtId="0" fontId="5" fillId="0" borderId="0" xfId="0" applyFont="1" applyFill="1" applyBorder="1" applyAlignment="1" applyProtection="1">
      <alignment horizontal="center"/>
      <protection locked="0"/>
    </xf>
    <xf numFmtId="3" fontId="14" fillId="0" borderId="0" xfId="0" applyNumberFormat="1" applyFont="1" applyFill="1" applyBorder="1"/>
    <xf numFmtId="3" fontId="5" fillId="0" borderId="9" xfId="0" applyNumberFormat="1" applyFont="1" applyFill="1" applyBorder="1" applyAlignment="1">
      <alignment horizontal="right"/>
    </xf>
    <xf numFmtId="0" fontId="5" fillId="4" borderId="16" xfId="0" applyFont="1" applyFill="1" applyBorder="1" applyAlignment="1">
      <alignment horizontal="left"/>
    </xf>
    <xf numFmtId="3" fontId="5" fillId="0" borderId="4" xfId="0" applyNumberFormat="1" applyFont="1" applyFill="1" applyBorder="1" applyAlignment="1">
      <alignment horizontal="right"/>
    </xf>
    <xf numFmtId="3" fontId="0" fillId="0" borderId="0" xfId="0" applyNumberFormat="1" applyFill="1" applyBorder="1"/>
    <xf numFmtId="3" fontId="14" fillId="0" borderId="15" xfId="0" applyNumberFormat="1" applyFont="1" applyFill="1" applyBorder="1"/>
    <xf numFmtId="3" fontId="14" fillId="0" borderId="15" xfId="0" applyNumberFormat="1" applyFont="1" applyBorder="1"/>
    <xf numFmtId="3" fontId="14" fillId="0" borderId="17" xfId="0" applyNumberFormat="1" applyFont="1" applyFill="1" applyBorder="1"/>
    <xf numFmtId="3" fontId="14" fillId="4" borderId="16" xfId="0" applyNumberFormat="1" applyFont="1" applyFill="1" applyBorder="1"/>
    <xf numFmtId="3" fontId="5" fillId="0" borderId="16" xfId="0" applyNumberFormat="1" applyFont="1" applyFill="1" applyBorder="1" applyAlignment="1">
      <alignment horizontal="right"/>
    </xf>
    <xf numFmtId="0" fontId="15" fillId="0" borderId="0" xfId="0" applyFont="1" applyBorder="1"/>
    <xf numFmtId="0" fontId="15" fillId="0" borderId="6" xfId="0" applyFont="1" applyBorder="1"/>
    <xf numFmtId="0" fontId="15" fillId="0" borderId="0" xfId="0" applyFont="1" applyBorder="1" applyAlignment="1">
      <alignment horizontal="center"/>
    </xf>
    <xf numFmtId="3" fontId="15" fillId="0" borderId="0" xfId="0" applyNumberFormat="1" applyFont="1" applyBorder="1"/>
    <xf numFmtId="0" fontId="15" fillId="0" borderId="0" xfId="0" applyFont="1"/>
    <xf numFmtId="0" fontId="18" fillId="3" borderId="13" xfId="0" applyFont="1" applyFill="1" applyBorder="1"/>
    <xf numFmtId="0" fontId="18" fillId="3" borderId="14" xfId="0" applyFont="1" applyFill="1" applyBorder="1"/>
    <xf numFmtId="0" fontId="18" fillId="0" borderId="0" xfId="0" applyFont="1" applyBorder="1"/>
    <xf numFmtId="0" fontId="18" fillId="3" borderId="7" xfId="0" applyFont="1" applyFill="1" applyBorder="1"/>
    <xf numFmtId="0" fontId="18" fillId="4" borderId="15" xfId="0" applyFont="1" applyFill="1" applyBorder="1" applyAlignment="1">
      <alignment horizontal="center" vertical="center"/>
    </xf>
    <xf numFmtId="0" fontId="18" fillId="4" borderId="8" xfId="0" applyFont="1" applyFill="1" applyBorder="1" applyAlignment="1">
      <alignment horizontal="center" vertical="center"/>
    </xf>
    <xf numFmtId="0" fontId="5" fillId="4" borderId="0" xfId="0" applyFont="1" applyFill="1" applyBorder="1" applyAlignment="1">
      <alignment horizontal="center"/>
    </xf>
    <xf numFmtId="0" fontId="0" fillId="3" borderId="8" xfId="0" applyFont="1" applyFill="1" applyBorder="1"/>
    <xf numFmtId="0" fontId="0" fillId="3" borderId="13" xfId="0" applyFont="1" applyFill="1" applyBorder="1"/>
    <xf numFmtId="0" fontId="0" fillId="3" borderId="14" xfId="0" applyFont="1" applyFill="1" applyBorder="1"/>
    <xf numFmtId="0" fontId="18" fillId="0" borderId="0" xfId="0" applyFont="1"/>
    <xf numFmtId="0" fontId="18" fillId="0" borderId="0" xfId="0" applyFont="1" applyFill="1"/>
    <xf numFmtId="0" fontId="18" fillId="0" borderId="0" xfId="0" applyFont="1" applyFill="1" applyAlignment="1">
      <alignment horizontal="center"/>
    </xf>
    <xf numFmtId="0" fontId="18" fillId="0" borderId="0" xfId="0" applyFont="1" applyFill="1" applyBorder="1" applyAlignment="1">
      <alignment horizontal="center" vertical="center"/>
    </xf>
    <xf numFmtId="0" fontId="16" fillId="3" borderId="8" xfId="0" applyFont="1" applyFill="1" applyBorder="1"/>
    <xf numFmtId="0" fontId="16" fillId="3" borderId="13" xfId="0" applyFont="1" applyFill="1" applyBorder="1"/>
    <xf numFmtId="0" fontId="16" fillId="3" borderId="14" xfId="0" applyFont="1" applyFill="1" applyBorder="1"/>
    <xf numFmtId="0" fontId="0" fillId="0" borderId="0" xfId="0" applyFont="1" applyFill="1"/>
    <xf numFmtId="0" fontId="16" fillId="0" borderId="0" xfId="0" applyFont="1"/>
    <xf numFmtId="0" fontId="16" fillId="0" borderId="0" xfId="0" applyFont="1" applyFill="1"/>
    <xf numFmtId="0" fontId="18" fillId="0" borderId="0" xfId="0" applyFont="1" applyFill="1" applyBorder="1"/>
    <xf numFmtId="0" fontId="18" fillId="4" borderId="1"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4" borderId="8" xfId="0" applyFont="1" applyFill="1" applyBorder="1" applyAlignment="1">
      <alignment horizontal="center"/>
    </xf>
    <xf numFmtId="0" fontId="18" fillId="4" borderId="8" xfId="0" applyFont="1" applyFill="1" applyBorder="1"/>
    <xf numFmtId="0" fontId="18" fillId="4" borderId="9" xfId="0" applyFont="1" applyFill="1" applyBorder="1" applyAlignment="1">
      <alignment horizontal="center" vertical="center"/>
    </xf>
    <xf numFmtId="0" fontId="5" fillId="4" borderId="6" xfId="0" applyFont="1" applyFill="1" applyBorder="1"/>
    <xf numFmtId="0" fontId="17" fillId="0" borderId="0" xfId="0" applyFont="1" applyFill="1" applyBorder="1" applyAlignment="1">
      <alignment horizontal="center" vertical="center"/>
    </xf>
    <xf numFmtId="0" fontId="15" fillId="0" borderId="13" xfId="0" applyFont="1" applyBorder="1"/>
    <xf numFmtId="0" fontId="15" fillId="0" borderId="7" xfId="0" applyFont="1" applyBorder="1"/>
    <xf numFmtId="0" fontId="5" fillId="3" borderId="13" xfId="0" applyFont="1" applyFill="1" applyBorder="1"/>
    <xf numFmtId="0" fontId="5" fillId="3" borderId="14" xfId="0" applyFont="1" applyFill="1" applyBorder="1"/>
    <xf numFmtId="0" fontId="19" fillId="0" borderId="0" xfId="20" applyFont="1"/>
    <xf numFmtId="0" fontId="5" fillId="0" borderId="2" xfId="0" applyFont="1" applyBorder="1"/>
    <xf numFmtId="3" fontId="5" fillId="0" borderId="0" xfId="0" applyNumberFormat="1" applyFont="1" applyFill="1"/>
    <xf numFmtId="0" fontId="5" fillId="0" borderId="6" xfId="0" applyFont="1" applyBorder="1"/>
    <xf numFmtId="3" fontId="5" fillId="0" borderId="0" xfId="0" applyNumberFormat="1" applyFont="1" applyBorder="1"/>
    <xf numFmtId="3" fontId="5" fillId="0" borderId="6" xfId="0" applyNumberFormat="1" applyFont="1" applyBorder="1"/>
    <xf numFmtId="0" fontId="13" fillId="0" borderId="0" xfId="0" applyFont="1" applyBorder="1" applyAlignment="1">
      <alignment horizontal="center"/>
    </xf>
    <xf numFmtId="3" fontId="13" fillId="0" borderId="0" xfId="0" applyNumberFormat="1" applyFont="1" applyBorder="1"/>
    <xf numFmtId="3" fontId="13" fillId="0" borderId="6" xfId="0" applyNumberFormat="1" applyFont="1" applyBorder="1"/>
    <xf numFmtId="0" fontId="13" fillId="4" borderId="0" xfId="0" applyFont="1" applyFill="1" applyBorder="1" applyAlignment="1">
      <alignment horizontal="center"/>
    </xf>
    <xf numFmtId="3" fontId="13" fillId="4" borderId="0" xfId="0" applyNumberFormat="1" applyFont="1" applyFill="1" applyBorder="1"/>
    <xf numFmtId="3" fontId="13" fillId="4" borderId="6" xfId="0" applyNumberFormat="1" applyFont="1" applyFill="1" applyBorder="1"/>
    <xf numFmtId="0" fontId="5" fillId="0" borderId="12" xfId="0" applyFont="1" applyBorder="1"/>
    <xf numFmtId="3" fontId="5" fillId="0" borderId="2" xfId="0" applyNumberFormat="1" applyFont="1" applyBorder="1"/>
    <xf numFmtId="3" fontId="5" fillId="4" borderId="2" xfId="0" applyNumberFormat="1" applyFont="1" applyFill="1" applyBorder="1"/>
    <xf numFmtId="3" fontId="5" fillId="4" borderId="0" xfId="0" applyNumberFormat="1" applyFont="1" applyFill="1" applyBorder="1"/>
    <xf numFmtId="3" fontId="5" fillId="4" borderId="6" xfId="0" applyNumberFormat="1" applyFont="1" applyFill="1" applyBorder="1"/>
    <xf numFmtId="3" fontId="5" fillId="4" borderId="9" xfId="0" applyNumberFormat="1" applyFont="1" applyFill="1" applyBorder="1"/>
    <xf numFmtId="3" fontId="5" fillId="4" borderId="11" xfId="0" applyNumberFormat="1" applyFont="1" applyFill="1" applyBorder="1"/>
    <xf numFmtId="0" fontId="15" fillId="0" borderId="2" xfId="0" applyFont="1" applyBorder="1"/>
    <xf numFmtId="0" fontId="13" fillId="0" borderId="2" xfId="0" applyFont="1" applyBorder="1"/>
    <xf numFmtId="0" fontId="13" fillId="4" borderId="2" xfId="0" applyFont="1" applyFill="1" applyBorder="1"/>
    <xf numFmtId="0" fontId="13" fillId="4" borderId="9" xfId="0" applyFont="1" applyFill="1" applyBorder="1"/>
    <xf numFmtId="0" fontId="13" fillId="4" borderId="10" xfId="0" applyFont="1" applyFill="1" applyBorder="1" applyAlignment="1">
      <alignment horizontal="center"/>
    </xf>
    <xf numFmtId="3" fontId="13" fillId="4" borderId="10" xfId="0" applyNumberFormat="1" applyFont="1" applyFill="1" applyBorder="1"/>
    <xf numFmtId="3" fontId="13" fillId="4" borderId="11" xfId="0" applyNumberFormat="1" applyFont="1" applyFill="1" applyBorder="1"/>
    <xf numFmtId="0" fontId="5" fillId="0" borderId="17" xfId="0" applyFont="1" applyBorder="1" applyAlignment="1" quotePrefix="1">
      <alignment horizontal="left"/>
    </xf>
    <xf numFmtId="0" fontId="5" fillId="0" borderId="2" xfId="0" applyFont="1" applyFill="1" applyBorder="1" applyAlignment="1">
      <alignment horizontal="left"/>
    </xf>
    <xf numFmtId="3" fontId="5" fillId="4" borderId="16" xfId="0" applyNumberFormat="1" applyFont="1" applyFill="1" applyBorder="1" applyAlignment="1">
      <alignment horizontal="center"/>
    </xf>
    <xf numFmtId="0" fontId="5" fillId="3" borderId="15" xfId="0" applyFont="1" applyFill="1" applyBorder="1" applyAlignment="1">
      <alignment horizontal="center" vertical="center"/>
    </xf>
    <xf numFmtId="3" fontId="5" fillId="0" borderId="16" xfId="0" applyNumberFormat="1" applyFont="1" applyBorder="1" applyAlignment="1">
      <alignment horizontal="center"/>
    </xf>
    <xf numFmtId="0" fontId="5" fillId="3" borderId="8" xfId="0" applyFont="1" applyFill="1" applyBorder="1" applyAlignment="1">
      <alignment horizontal="center"/>
    </xf>
    <xf numFmtId="3" fontId="5" fillId="0" borderId="16" xfId="0" applyNumberFormat="1" applyFont="1" applyBorder="1" applyAlignment="1">
      <alignment horizontal="right"/>
    </xf>
    <xf numFmtId="0" fontId="18" fillId="3" borderId="8" xfId="0" applyFont="1" applyFill="1" applyBorder="1" applyAlignment="1">
      <alignment horizontal="center"/>
    </xf>
    <xf numFmtId="0" fontId="7" fillId="0" borderId="0" xfId="0" applyFont="1" applyFill="1" applyBorder="1" applyAlignment="1">
      <alignment wrapText="1"/>
    </xf>
    <xf numFmtId="0" fontId="23" fillId="0" borderId="0" xfId="0" applyFont="1"/>
    <xf numFmtId="0" fontId="5" fillId="4" borderId="4" xfId="0" applyFont="1" applyFill="1" applyBorder="1" applyAlignment="1">
      <alignment horizontal="center" vertical="center"/>
    </xf>
    <xf numFmtId="0" fontId="18" fillId="0" borderId="0" xfId="0" applyFont="1" applyFill="1" applyBorder="1" applyAlignment="1">
      <alignment horizontal="center"/>
    </xf>
    <xf numFmtId="0" fontId="24" fillId="0" borderId="0" xfId="20" applyFont="1" applyAlignment="1" quotePrefix="1">
      <alignment horizontal="left"/>
    </xf>
    <xf numFmtId="0" fontId="18" fillId="4" borderId="13" xfId="0" applyFont="1" applyFill="1" applyBorder="1" applyAlignment="1">
      <alignment horizontal="center" vertical="center"/>
    </xf>
    <xf numFmtId="0" fontId="18" fillId="4" borderId="7" xfId="0" applyFont="1" applyFill="1" applyBorder="1" applyAlignment="1">
      <alignment horizontal="center" vertical="center"/>
    </xf>
    <xf numFmtId="3" fontId="5" fillId="4" borderId="16" xfId="0" applyNumberFormat="1" applyFont="1" applyFill="1" applyBorder="1"/>
    <xf numFmtId="3" fontId="5" fillId="0" borderId="16" xfId="0" applyNumberFormat="1" applyFont="1" applyBorder="1"/>
    <xf numFmtId="3" fontId="5" fillId="4" borderId="17" xfId="0" applyNumberFormat="1" applyFont="1" applyFill="1" applyBorder="1"/>
    <xf numFmtId="0" fontId="5" fillId="4" borderId="7" xfId="0" applyFont="1" applyFill="1" applyBorder="1" applyAlignment="1">
      <alignment horizontal="center" vertical="center"/>
    </xf>
    <xf numFmtId="4" fontId="5" fillId="0" borderId="9" xfId="0" applyNumberFormat="1" applyFont="1" applyFill="1" applyBorder="1" applyAlignment="1">
      <alignment horizontal="right"/>
    </xf>
    <xf numFmtId="4" fontId="5" fillId="0" borderId="10" xfId="0" applyNumberFormat="1" applyFont="1" applyFill="1" applyBorder="1" applyAlignment="1">
      <alignment horizontal="right"/>
    </xf>
    <xf numFmtId="0" fontId="22" fillId="0" borderId="1" xfId="0" applyFont="1" applyBorder="1" applyAlignment="1">
      <alignment wrapText="1"/>
    </xf>
    <xf numFmtId="3" fontId="22" fillId="0" borderId="1" xfId="0" applyNumberFormat="1" applyFont="1" applyBorder="1" applyAlignment="1">
      <alignment wrapText="1"/>
    </xf>
    <xf numFmtId="3" fontId="22" fillId="4" borderId="3" xfId="0" applyNumberFormat="1" applyFont="1" applyFill="1" applyBorder="1" applyAlignment="1">
      <alignment wrapText="1"/>
    </xf>
    <xf numFmtId="0" fontId="25" fillId="0" borderId="0" xfId="0" applyFont="1" applyFill="1" applyBorder="1"/>
    <xf numFmtId="4" fontId="22" fillId="0" borderId="2" xfId="0" applyNumberFormat="1" applyFont="1" applyBorder="1" applyAlignment="1">
      <alignment horizontal="center"/>
    </xf>
    <xf numFmtId="4" fontId="22" fillId="0" borderId="0" xfId="0" applyNumberFormat="1" applyFont="1" applyBorder="1" applyAlignment="1">
      <alignment horizontal="center"/>
    </xf>
    <xf numFmtId="4" fontId="22" fillId="0" borderId="6" xfId="0" applyNumberFormat="1" applyFont="1" applyBorder="1" applyAlignment="1">
      <alignment horizontal="center"/>
    </xf>
    <xf numFmtId="4" fontId="22" fillId="0" borderId="0" xfId="0" applyNumberFormat="1" applyFont="1" applyFill="1" applyBorder="1" applyAlignment="1">
      <alignment horizontal="center"/>
    </xf>
    <xf numFmtId="4" fontId="22" fillId="0" borderId="2" xfId="0" applyNumberFormat="1" applyFont="1" applyFill="1" applyBorder="1" applyAlignment="1">
      <alignment horizontal="left"/>
    </xf>
    <xf numFmtId="4" fontId="22" fillId="0" borderId="6" xfId="0" applyNumberFormat="1" applyFont="1" applyFill="1" applyBorder="1" applyAlignment="1">
      <alignment horizontal="right"/>
    </xf>
    <xf numFmtId="4" fontId="22" fillId="0" borderId="0" xfId="0" applyNumberFormat="1" applyFont="1" applyFill="1" applyBorder="1" applyAlignment="1">
      <alignment horizontal="right"/>
    </xf>
    <xf numFmtId="0" fontId="22" fillId="0" borderId="16" xfId="0" applyFont="1" applyBorder="1"/>
    <xf numFmtId="3" fontId="22" fillId="0" borderId="16" xfId="0" applyNumberFormat="1" applyFont="1" applyFill="1" applyBorder="1" applyAlignment="1">
      <alignment horizontal="right"/>
    </xf>
    <xf numFmtId="3" fontId="22" fillId="0" borderId="6" xfId="0" applyNumberFormat="1" applyFont="1" applyFill="1" applyBorder="1" applyAlignment="1">
      <alignment horizontal="right"/>
    </xf>
    <xf numFmtId="0" fontId="5" fillId="0" borderId="0" xfId="0" applyFont="1" applyBorder="1" applyAlignment="1">
      <alignment wrapText="1"/>
    </xf>
    <xf numFmtId="3" fontId="5" fillId="0" borderId="0" xfId="0" applyNumberFormat="1" applyFont="1" applyBorder="1" applyAlignment="1">
      <alignment wrapText="1"/>
    </xf>
    <xf numFmtId="3" fontId="5" fillId="0" borderId="0" xfId="0" applyNumberFormat="1" applyFont="1" applyFill="1" applyBorder="1" applyAlignment="1">
      <alignment wrapText="1"/>
    </xf>
    <xf numFmtId="0" fontId="0" fillId="0" borderId="0" xfId="0" applyFill="1" applyBorder="1"/>
    <xf numFmtId="0" fontId="18" fillId="0" borderId="0" xfId="0" applyFont="1" applyFill="1" applyBorder="1" applyAlignment="1">
      <alignment horizontal="center" vertical="center" wrapText="1"/>
    </xf>
    <xf numFmtId="0" fontId="5" fillId="0" borderId="20" xfId="0" applyFont="1" applyBorder="1" applyAlignment="1">
      <alignment wrapText="1"/>
    </xf>
    <xf numFmtId="3" fontId="5" fillId="0" borderId="20" xfId="0" applyNumberFormat="1" applyFont="1" applyBorder="1" applyAlignment="1">
      <alignment wrapText="1"/>
    </xf>
    <xf numFmtId="3" fontId="5" fillId="4" borderId="21" xfId="0" applyNumberFormat="1" applyFont="1" applyFill="1" applyBorder="1" applyAlignment="1">
      <alignment wrapText="1"/>
    </xf>
    <xf numFmtId="3" fontId="0" fillId="0" borderId="0" xfId="0" applyNumberFormat="1" applyFont="1" applyFill="1" applyBorder="1" applyAlignment="1">
      <alignment horizontal="center"/>
    </xf>
    <xf numFmtId="0" fontId="5" fillId="0" borderId="15" xfId="0" applyFont="1" applyBorder="1" applyAlignment="1">
      <alignment horizontal="center"/>
    </xf>
    <xf numFmtId="3" fontId="5" fillId="4" borderId="17" xfId="0" applyNumberFormat="1" applyFont="1" applyFill="1" applyBorder="1" applyAlignment="1">
      <alignment horizontal="center"/>
    </xf>
    <xf numFmtId="0" fontId="18" fillId="3" borderId="13" xfId="0" applyFont="1" applyFill="1" applyBorder="1" applyAlignment="1">
      <alignment horizontal="center" vertical="center"/>
    </xf>
    <xf numFmtId="0" fontId="18" fillId="3" borderId="14"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8"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18" fillId="3" borderId="14" xfId="0" applyFont="1" applyFill="1" applyBorder="1" applyAlignment="1">
      <alignment horizontal="center"/>
    </xf>
    <xf numFmtId="0" fontId="18" fillId="3" borderId="7" xfId="0" applyFont="1" applyFill="1" applyBorder="1" applyAlignment="1">
      <alignment horizontal="center"/>
    </xf>
    <xf numFmtId="0" fontId="5" fillId="3" borderId="8" xfId="0" applyFont="1" applyFill="1" applyBorder="1" applyAlignment="1" applyProtection="1">
      <alignment horizontal="center"/>
      <protection locked="0"/>
    </xf>
    <xf numFmtId="0" fontId="5" fillId="3" borderId="13" xfId="0" applyFont="1" applyFill="1" applyBorder="1" applyAlignment="1" applyProtection="1">
      <alignment horizontal="center"/>
      <protection locked="0"/>
    </xf>
    <xf numFmtId="0" fontId="5" fillId="3" borderId="14" xfId="0" applyFont="1" applyFill="1" applyBorder="1" applyAlignment="1" applyProtection="1">
      <alignment horizontal="center"/>
      <protection locked="0"/>
    </xf>
    <xf numFmtId="0" fontId="5" fillId="3" borderId="7" xfId="0" applyFont="1" applyFill="1" applyBorder="1" applyAlignment="1" applyProtection="1">
      <alignment horizontal="center"/>
      <protection locked="0"/>
    </xf>
    <xf numFmtId="0" fontId="8" fillId="3" borderId="13" xfId="0" applyFont="1" applyFill="1" applyBorder="1" applyAlignment="1">
      <alignment horizontal="center" vertical="center"/>
    </xf>
    <xf numFmtId="0" fontId="17" fillId="3" borderId="4" xfId="0" applyFont="1" applyFill="1" applyBorder="1" applyAlignment="1">
      <alignment horizontal="center" vertical="center"/>
    </xf>
    <xf numFmtId="0" fontId="17" fillId="3" borderId="5" xfId="0" applyFont="1" applyFill="1" applyBorder="1" applyAlignment="1">
      <alignment horizontal="center" vertical="center"/>
    </xf>
    <xf numFmtId="0" fontId="17" fillId="3" borderId="2" xfId="0" applyFont="1" applyFill="1" applyBorder="1" applyAlignment="1">
      <alignment horizontal="center" vertical="center"/>
    </xf>
    <xf numFmtId="0" fontId="17" fillId="3" borderId="0" xfId="0" applyFont="1" applyFill="1" applyBorder="1" applyAlignment="1">
      <alignment horizontal="center" vertical="center"/>
    </xf>
    <xf numFmtId="0" fontId="17" fillId="4" borderId="9" xfId="0" applyFont="1" applyFill="1" applyBorder="1" applyAlignment="1">
      <alignment horizontal="center" vertical="center"/>
    </xf>
    <xf numFmtId="0" fontId="17" fillId="4" borderId="10" xfId="0" applyFont="1" applyFill="1" applyBorder="1" applyAlignment="1">
      <alignment horizontal="center" vertical="center"/>
    </xf>
    <xf numFmtId="0" fontId="18" fillId="3" borderId="13" xfId="0" applyFont="1" applyFill="1" applyBorder="1" applyAlignment="1">
      <alignment horizontal="center"/>
    </xf>
    <xf numFmtId="0" fontId="17" fillId="3" borderId="12" xfId="0" applyFont="1" applyFill="1" applyBorder="1" applyAlignment="1">
      <alignment horizontal="center" vertical="center"/>
    </xf>
    <xf numFmtId="0" fontId="17" fillId="3" borderId="6" xfId="0" applyFont="1" applyFill="1" applyBorder="1" applyAlignment="1">
      <alignment horizontal="center" vertical="center"/>
    </xf>
    <xf numFmtId="0" fontId="17" fillId="4" borderId="11"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Hyperkobling" xfId="20"/>
  </cellStyle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aostat.fao.org/site/616/default.aspx#ancor"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faostat.fao.org/site/616/default.aspx#ancor" TargetMode="External" /><Relationship Id="rId2" Type="http://schemas.openxmlformats.org/officeDocument/2006/relationships/comments" Target="../comments2.xml" /><Relationship Id="rId3" Type="http://schemas.openxmlformats.org/officeDocument/2006/relationships/vmlDrawing" Target="../drawings/vmlDrawing2.vml" /></Relationships>
</file>

<file path=xl/worksheets/_rels/sheet21.xml.rels><?xml version="1.0" encoding="utf-8" standalone="yes"?><Relationships xmlns="http://schemas.openxmlformats.org/package/2006/relationships"><Relationship Id="rId1" Type="http://schemas.openxmlformats.org/officeDocument/2006/relationships/hyperlink" Target="ftp://ftp.fao.org/fi/stat/summary/a-5.pdf" TargetMode="External" /><Relationship Id="rId2" Type="http://schemas.openxmlformats.org/officeDocument/2006/relationships/hyperlink" Target="ftp://ftp.fao.org/FI/CDrom/CD_yearbook_2008/navigation/index_content_aquaculture_e.htm" TargetMode="External" /><Relationship Id="rId3" Type="http://schemas.openxmlformats.org/officeDocument/2006/relationships/comments" Target="../comments21.xml" /><Relationship Id="rId4" Type="http://schemas.openxmlformats.org/officeDocument/2006/relationships/vmlDrawing" Target="../drawings/vmlDrawing7.vml" /></Relationships>
</file>

<file path=xl/worksheets/_rels/sheet3.xml.rels><?xml version="1.0" encoding="utf-8" standalone="yes"?><Relationships xmlns="http://schemas.openxmlformats.org/package/2006/relationships"><Relationship Id="rId1" Type="http://schemas.openxmlformats.org/officeDocument/2006/relationships/hyperlink" Target="http://faostat.fao.org/site/616/default.aspx#ancor" TargetMode="External" /><Relationship Id="rId2" Type="http://schemas.openxmlformats.org/officeDocument/2006/relationships/comments" Target="../comments3.xml" /><Relationship Id="rId3"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hyperlink" Target="http://faostat.fao.org/site/616/default.aspx#ancor" TargetMode="External" /><Relationship Id="rId2" Type="http://schemas.openxmlformats.org/officeDocument/2006/relationships/comments" Target="../comments4.xml" /><Relationship Id="rId3"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hyperlink" Target="http://faostat.fao.org/site/616/default.aspx#ancor" TargetMode="External" /><Relationship Id="rId2" Type="http://schemas.openxmlformats.org/officeDocument/2006/relationships/comments" Target="../comments5.xml" /><Relationship Id="rId3"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P95"/>
  <sheetViews>
    <sheetView tabSelected="1" zoomScale="90" zoomScaleNormal="90" workbookViewId="0" topLeftCell="A1">
      <selection activeCell="N4" sqref="N4"/>
    </sheetView>
  </sheetViews>
  <sheetFormatPr defaultColWidth="11.00390625" defaultRowHeight="12.75"/>
  <cols>
    <col min="1" max="1" width="19.375" style="0" customWidth="1"/>
    <col min="2" max="2" width="8.625" style="0" customWidth="1"/>
    <col min="3" max="3" width="8.375" style="0" bestFit="1" customWidth="1"/>
    <col min="4" max="4" width="9.875" style="0" customWidth="1"/>
    <col min="5" max="5" width="4.125" style="4" customWidth="1"/>
    <col min="6" max="6" width="17.375" style="0" bestFit="1" customWidth="1"/>
    <col min="7" max="7" width="14.125" style="0" bestFit="1" customWidth="1"/>
    <col min="8" max="8" width="12.75390625" style="0" bestFit="1" customWidth="1"/>
    <col min="9" max="9" width="4.625" style="4" customWidth="1"/>
    <col min="10" max="10" width="17.625" style="0" customWidth="1"/>
    <col min="11" max="11" width="15.125" style="0" customWidth="1"/>
    <col min="12" max="12" width="4.375" style="4" customWidth="1"/>
    <col min="13" max="13" width="17.375" style="0" bestFit="1" customWidth="1"/>
    <col min="14" max="14" width="17.625" style="0" customWidth="1"/>
    <col min="15" max="15" width="17.25390625" style="0" customWidth="1"/>
    <col min="16" max="16" width="20.375" style="0" customWidth="1"/>
  </cols>
  <sheetData>
    <row r="2" spans="1:16" ht="15">
      <c r="A2" s="164"/>
      <c r="B2" s="164"/>
      <c r="C2" s="164"/>
      <c r="D2" s="164"/>
      <c r="E2" s="165"/>
      <c r="F2" s="164"/>
      <c r="G2" s="164"/>
      <c r="H2" s="164"/>
      <c r="I2" s="165"/>
      <c r="J2" s="164"/>
      <c r="K2" s="164"/>
      <c r="L2" s="165"/>
      <c r="M2" s="258" t="s">
        <v>84</v>
      </c>
      <c r="N2" s="259"/>
      <c r="O2" s="259"/>
      <c r="P2" s="260"/>
    </row>
    <row r="3" spans="1:16" ht="15">
      <c r="A3" s="259" t="s">
        <v>230</v>
      </c>
      <c r="B3" s="259"/>
      <c r="C3" s="259"/>
      <c r="D3" s="260"/>
      <c r="E3" s="166"/>
      <c r="F3" s="258" t="s">
        <v>76</v>
      </c>
      <c r="G3" s="259"/>
      <c r="H3" s="260"/>
      <c r="I3" s="167"/>
      <c r="J3" s="261" t="s">
        <v>104</v>
      </c>
      <c r="K3" s="261"/>
      <c r="L3" s="167"/>
      <c r="M3" s="168"/>
      <c r="N3" s="169"/>
      <c r="O3" s="170"/>
      <c r="P3" s="219" t="s">
        <v>86</v>
      </c>
    </row>
    <row r="4" spans="1:16" ht="15" customHeight="1">
      <c r="A4" s="100" t="s">
        <v>74</v>
      </c>
      <c r="B4" s="100" t="s">
        <v>75</v>
      </c>
      <c r="C4" s="100">
        <v>2006</v>
      </c>
      <c r="D4" s="101">
        <v>2007</v>
      </c>
      <c r="E4" s="114"/>
      <c r="F4" s="102" t="s">
        <v>39</v>
      </c>
      <c r="G4" s="102" t="s">
        <v>64</v>
      </c>
      <c r="H4" s="102" t="s">
        <v>65</v>
      </c>
      <c r="I4" s="76"/>
      <c r="J4" s="103" t="s">
        <v>109</v>
      </c>
      <c r="K4" s="103" t="s">
        <v>105</v>
      </c>
      <c r="L4" s="76"/>
      <c r="M4" s="104" t="s">
        <v>74</v>
      </c>
      <c r="N4" s="121" t="s">
        <v>226</v>
      </c>
      <c r="O4" s="105" t="s">
        <v>227</v>
      </c>
      <c r="P4" s="106" t="s">
        <v>236</v>
      </c>
    </row>
    <row r="5" spans="1:16" s="4" customFormat="1" ht="25.5">
      <c r="A5" s="11" t="s">
        <v>219</v>
      </c>
      <c r="B5" s="11" t="s">
        <v>149</v>
      </c>
      <c r="C5" s="12">
        <v>29522150</v>
      </c>
      <c r="D5" s="13">
        <v>59353030</v>
      </c>
      <c r="E5" s="112"/>
      <c r="F5" s="58" t="s">
        <v>66</v>
      </c>
      <c r="G5" s="59" t="s">
        <v>66</v>
      </c>
      <c r="H5" s="60">
        <f>0.41*D5</f>
        <v>24334742.299999997</v>
      </c>
      <c r="I5" s="62"/>
      <c r="J5" s="79" t="s">
        <v>219</v>
      </c>
      <c r="K5" s="60">
        <v>24334742.3</v>
      </c>
      <c r="L5" s="62"/>
      <c r="M5" s="123" t="str">
        <f>A5</f>
        <v>Sugar Cane</v>
      </c>
      <c r="N5" s="118">
        <f>(H5*600)*(4/5.67)</f>
        <v>10300420021.164019</v>
      </c>
      <c r="O5" s="69">
        <f>(0.001*D5)*13585</f>
        <v>806310912.55</v>
      </c>
      <c r="P5" s="70">
        <f>(0.02*D5)*580</f>
        <v>688495148</v>
      </c>
    </row>
    <row r="6" spans="1:16" s="4" customFormat="1" ht="25.5">
      <c r="A6" s="11" t="s">
        <v>203</v>
      </c>
      <c r="B6" s="11" t="s">
        <v>149</v>
      </c>
      <c r="C6" s="12">
        <v>36678468</v>
      </c>
      <c r="D6" s="13">
        <v>37656945</v>
      </c>
      <c r="E6" s="112"/>
      <c r="F6" s="61" t="s">
        <v>66</v>
      </c>
      <c r="G6" s="62" t="s">
        <v>66</v>
      </c>
      <c r="H6" s="63">
        <f>0.3425*D6</f>
        <v>12897503.662500001</v>
      </c>
      <c r="I6" s="62"/>
      <c r="J6" s="80" t="s">
        <v>179</v>
      </c>
      <c r="K6" s="63">
        <v>20692898.65</v>
      </c>
      <c r="L6" s="62"/>
      <c r="M6" s="213" t="str">
        <f aca="true" t="shared" si="0" ref="M6:M41">A6</f>
        <v>Rice (Paddy Equivalent)</v>
      </c>
      <c r="N6" s="148">
        <f aca="true" t="shared" si="1" ref="N6:N14">(H6*600)*(4/5.67)</f>
        <v>5459260809.523809</v>
      </c>
      <c r="O6" s="70">
        <f>(0.031*D6)*13585</f>
        <v>15858657532.574999</v>
      </c>
      <c r="P6" s="70">
        <f>(0.0369*D6)*580</f>
        <v>805933936.8900001</v>
      </c>
    </row>
    <row r="7" spans="1:16" s="4" customFormat="1" ht="25.5">
      <c r="A7" s="11" t="s">
        <v>179</v>
      </c>
      <c r="B7" s="11" t="s">
        <v>149</v>
      </c>
      <c r="C7" s="12">
        <v>26942111</v>
      </c>
      <c r="D7" s="13">
        <v>28832240</v>
      </c>
      <c r="E7" s="112"/>
      <c r="F7" s="61">
        <f>0.1355*D7</f>
        <v>3906768.5200000005</v>
      </c>
      <c r="G7" s="62">
        <f>0.1235*D7</f>
        <v>3560781.64</v>
      </c>
      <c r="H7" s="63">
        <f>0.7177*D7</f>
        <v>20692898.648000002</v>
      </c>
      <c r="I7" s="62"/>
      <c r="J7" s="81" t="s">
        <v>203</v>
      </c>
      <c r="K7" s="82">
        <v>12897503</v>
      </c>
      <c r="L7" s="84"/>
      <c r="M7" s="213" t="str">
        <f t="shared" si="0"/>
        <v>Maize</v>
      </c>
      <c r="N7" s="148">
        <f t="shared" si="1"/>
        <v>8758898898.624338</v>
      </c>
      <c r="O7" s="70">
        <f>(0.035*D7)*13585</f>
        <v>13709009314.000002</v>
      </c>
      <c r="P7" s="70">
        <f>(0.0945*D7)*580</f>
        <v>1580295074.4</v>
      </c>
    </row>
    <row r="8" spans="1:16" s="4" customFormat="1" ht="25.5">
      <c r="A8" s="11" t="s">
        <v>202</v>
      </c>
      <c r="B8" s="11" t="s">
        <v>149</v>
      </c>
      <c r="C8" s="12">
        <v>24464538</v>
      </c>
      <c r="D8" s="13">
        <v>25117182</v>
      </c>
      <c r="E8" s="112"/>
      <c r="F8" s="61" t="s">
        <v>66</v>
      </c>
      <c r="G8" s="62" t="s">
        <v>66</v>
      </c>
      <c r="H8" s="63">
        <f>0.3425*D8</f>
        <v>8602634.835</v>
      </c>
      <c r="I8" s="62"/>
      <c r="J8" s="80" t="s">
        <v>202</v>
      </c>
      <c r="K8" s="63">
        <v>8602634.84</v>
      </c>
      <c r="L8" s="62"/>
      <c r="M8" s="213" t="str">
        <f t="shared" si="0"/>
        <v>Rice (Milled Equivalent)</v>
      </c>
      <c r="N8" s="148">
        <f t="shared" si="1"/>
        <v>3641326914.2857146</v>
      </c>
      <c r="O8" s="70">
        <f>(0.031*D8)*13585</f>
        <v>10577724441.57</v>
      </c>
      <c r="P8" s="70">
        <f>(0.0369*D8)*580</f>
        <v>537557929.164</v>
      </c>
    </row>
    <row r="9" spans="1:16" s="4" customFormat="1" ht="25.5">
      <c r="A9" s="11" t="s">
        <v>198</v>
      </c>
      <c r="B9" s="11" t="s">
        <v>149</v>
      </c>
      <c r="C9" s="12">
        <v>22037976</v>
      </c>
      <c r="D9" s="13">
        <v>23004592</v>
      </c>
      <c r="E9" s="112"/>
      <c r="F9" s="61" t="s">
        <v>66</v>
      </c>
      <c r="G9" s="62" t="s">
        <v>66</v>
      </c>
      <c r="H9" s="63">
        <f>0.096*D9</f>
        <v>2208440.832</v>
      </c>
      <c r="I9" s="62"/>
      <c r="J9" s="80" t="s">
        <v>53</v>
      </c>
      <c r="K9" s="63">
        <v>6980202.23</v>
      </c>
      <c r="L9" s="62"/>
      <c r="M9" s="213" t="str">
        <f t="shared" si="0"/>
        <v>Potatoes</v>
      </c>
      <c r="N9" s="148">
        <f t="shared" si="1"/>
        <v>934789770.1587301</v>
      </c>
      <c r="O9" s="70">
        <f>(0.096*D9)*13585</f>
        <v>30001668702.719997</v>
      </c>
      <c r="P9" s="70">
        <f>(0.0225*D9)*580</f>
        <v>300209925.6</v>
      </c>
    </row>
    <row r="10" spans="1:16" s="4" customFormat="1" ht="25.5">
      <c r="A10" s="11" t="s">
        <v>157</v>
      </c>
      <c r="B10" s="11" t="s">
        <v>149</v>
      </c>
      <c r="C10" s="12">
        <v>21347804</v>
      </c>
      <c r="D10" s="13">
        <v>20899509</v>
      </c>
      <c r="E10" s="112"/>
      <c r="F10" s="61" t="s">
        <v>66</v>
      </c>
      <c r="G10" s="62" t="s">
        <v>66</v>
      </c>
      <c r="H10" s="63">
        <f>0.14*D10</f>
        <v>2925931.2600000002</v>
      </c>
      <c r="I10" s="62"/>
      <c r="J10" s="80" t="s">
        <v>157</v>
      </c>
      <c r="K10" s="63">
        <v>2925931.26</v>
      </c>
      <c r="L10" s="62"/>
      <c r="M10" s="213" t="str">
        <f t="shared" si="0"/>
        <v>Cassava</v>
      </c>
      <c r="N10" s="148">
        <f t="shared" si="1"/>
        <v>1238489422.2222223</v>
      </c>
      <c r="O10" s="70" t="s">
        <v>83</v>
      </c>
      <c r="P10" s="70">
        <f>(0.035*D10)*580</f>
        <v>424260032.70000005</v>
      </c>
    </row>
    <row r="11" spans="1:16" s="4" customFormat="1" ht="25.5">
      <c r="A11" s="11" t="s">
        <v>53</v>
      </c>
      <c r="B11" s="11" t="s">
        <v>149</v>
      </c>
      <c r="C11" s="12">
        <v>19955561</v>
      </c>
      <c r="D11" s="13">
        <v>19773944</v>
      </c>
      <c r="E11" s="112"/>
      <c r="F11" s="61" t="s">
        <v>66</v>
      </c>
      <c r="G11" s="62" t="s">
        <v>66</v>
      </c>
      <c r="H11" s="63">
        <f>0.353*D11</f>
        <v>6980202.232</v>
      </c>
      <c r="I11" s="62"/>
      <c r="J11" s="80" t="s">
        <v>150</v>
      </c>
      <c r="K11" s="63">
        <v>2389483.61</v>
      </c>
      <c r="L11" s="62"/>
      <c r="M11" s="213" t="str">
        <f t="shared" si="0"/>
        <v>Wheat</v>
      </c>
      <c r="N11" s="148">
        <f t="shared" si="1"/>
        <v>2954582955.343915</v>
      </c>
      <c r="O11" s="70">
        <f>(0.05*D11)*13585</f>
        <v>13431451462</v>
      </c>
      <c r="P11" s="70">
        <f>(0.0233*D11)*580</f>
        <v>267225079.21600002</v>
      </c>
    </row>
    <row r="12" spans="1:16" s="4" customFormat="1" ht="25.5">
      <c r="A12" s="11" t="s">
        <v>151</v>
      </c>
      <c r="B12" s="11" t="s">
        <v>149</v>
      </c>
      <c r="C12" s="12">
        <v>11192732</v>
      </c>
      <c r="D12" s="13">
        <v>11848435</v>
      </c>
      <c r="E12" s="112"/>
      <c r="F12" s="61">
        <f>0.5025*D12</f>
        <v>5953838.587499999</v>
      </c>
      <c r="G12" s="62" t="s">
        <v>66</v>
      </c>
      <c r="H12" s="63">
        <f>0.095*D12</f>
        <v>1125601.325</v>
      </c>
      <c r="I12" s="62"/>
      <c r="J12" s="80" t="s">
        <v>198</v>
      </c>
      <c r="K12" s="63">
        <v>2208440.83</v>
      </c>
      <c r="L12" s="62"/>
      <c r="M12" s="213" t="str">
        <f t="shared" si="0"/>
        <v>Bananas</v>
      </c>
      <c r="N12" s="148">
        <f t="shared" si="1"/>
        <v>476445005.29100525</v>
      </c>
      <c r="O12" s="70">
        <f>(0.1735*D12)*13585</f>
        <v>27926731673.9125</v>
      </c>
      <c r="P12" s="70">
        <f>(0.086*D12)*580</f>
        <v>590999937.8</v>
      </c>
    </row>
    <row r="13" spans="1:16" s="4" customFormat="1" ht="25.5">
      <c r="A13" s="11" t="s">
        <v>51</v>
      </c>
      <c r="B13" s="11" t="s">
        <v>149</v>
      </c>
      <c r="C13" s="12">
        <v>10640367</v>
      </c>
      <c r="D13" s="13">
        <v>11068585</v>
      </c>
      <c r="E13" s="112"/>
      <c r="F13" s="61">
        <f>0.787275*D13</f>
        <v>8714020.255874999</v>
      </c>
      <c r="G13" s="62">
        <f>0.71515*D13</f>
        <v>7915698.56275</v>
      </c>
      <c r="H13" s="63">
        <f>0.197*D13</f>
        <v>2180511.245</v>
      </c>
      <c r="I13" s="62"/>
      <c r="J13" s="80" t="s">
        <v>152</v>
      </c>
      <c r="K13" s="63">
        <v>2199822.9</v>
      </c>
      <c r="L13" s="62"/>
      <c r="M13" s="213" t="str">
        <f t="shared" si="0"/>
        <v>Tomatoes</v>
      </c>
      <c r="N13" s="148">
        <f t="shared" si="1"/>
        <v>922967722.7513227</v>
      </c>
      <c r="O13" s="70">
        <f>(0.097*D13)*13585</f>
        <v>14585572540.825</v>
      </c>
      <c r="P13" s="70">
        <f>(0.1101*D13)*580</f>
        <v>706817700.93</v>
      </c>
    </row>
    <row r="14" spans="1:16" s="4" customFormat="1" ht="25.5">
      <c r="A14" s="11" t="s">
        <v>189</v>
      </c>
      <c r="B14" s="11" t="s">
        <v>149</v>
      </c>
      <c r="C14" s="12">
        <v>6774527</v>
      </c>
      <c r="D14" s="13">
        <v>6829004</v>
      </c>
      <c r="E14" s="112"/>
      <c r="F14" s="61">
        <f>0.643*D14</f>
        <v>4391049.572</v>
      </c>
      <c r="G14" s="62">
        <f>0.54*D14</f>
        <v>3687662.16</v>
      </c>
      <c r="H14" s="63">
        <f>0.188*D14</f>
        <v>1283852.752</v>
      </c>
      <c r="I14" s="62"/>
      <c r="J14" s="80" t="s">
        <v>51</v>
      </c>
      <c r="K14" s="63">
        <v>2180511.25</v>
      </c>
      <c r="L14" s="62"/>
      <c r="M14" s="213" t="str">
        <f t="shared" si="0"/>
        <v>Oranges, Mandarines</v>
      </c>
      <c r="N14" s="148">
        <f t="shared" si="1"/>
        <v>543429736.2962964</v>
      </c>
      <c r="O14" s="70">
        <f>(0.117*D14)*13585</f>
        <v>10854326262.78</v>
      </c>
      <c r="P14" s="70">
        <f>(0.0558*D14)*580</f>
        <v>221013885.456</v>
      </c>
    </row>
    <row r="15" spans="1:16" s="4" customFormat="1" ht="25.5">
      <c r="A15" s="11" t="s">
        <v>47</v>
      </c>
      <c r="B15" s="11" t="s">
        <v>149</v>
      </c>
      <c r="C15" s="12">
        <v>6864208</v>
      </c>
      <c r="D15" s="13">
        <v>6320688</v>
      </c>
      <c r="E15" s="112"/>
      <c r="F15" s="61">
        <f>0.112*D15</f>
        <v>707917.056</v>
      </c>
      <c r="G15" s="62">
        <f>0.0544*D15</f>
        <v>343845.4272</v>
      </c>
      <c r="H15" s="63">
        <f>(((5.44*30/100)/100)*D15)</f>
        <v>103153.62816000001</v>
      </c>
      <c r="I15" s="62"/>
      <c r="J15" s="80" t="s">
        <v>211</v>
      </c>
      <c r="K15" s="63">
        <v>2098396.81</v>
      </c>
      <c r="L15" s="62"/>
      <c r="M15" s="213" t="str">
        <f t="shared" si="0"/>
        <v>Sweet Potatoes</v>
      </c>
      <c r="N15" s="148" t="s">
        <v>83</v>
      </c>
      <c r="O15" s="70">
        <f>(0.0296*D15)*13585</f>
        <v>2541649775.808</v>
      </c>
      <c r="P15" s="70">
        <f>(0.0463*D15)*580</f>
        <v>169735755.55200002</v>
      </c>
    </row>
    <row r="16" spans="1:16" s="4" customFormat="1" ht="25.5">
      <c r="A16" s="11" t="s">
        <v>188</v>
      </c>
      <c r="B16" s="11" t="s">
        <v>149</v>
      </c>
      <c r="C16" s="12">
        <v>5303041</v>
      </c>
      <c r="D16" s="13">
        <v>5577546</v>
      </c>
      <c r="E16" s="112"/>
      <c r="F16" s="61">
        <f>0.3469444444*D16</f>
        <v>1935098.5980854423</v>
      </c>
      <c r="G16" s="62">
        <f>0.295*D16</f>
        <v>1645376.0699999998</v>
      </c>
      <c r="H16" s="63">
        <f>((29.5*30/100)/100)*D16</f>
        <v>493612.821</v>
      </c>
      <c r="I16" s="62"/>
      <c r="J16" s="80" t="s">
        <v>189</v>
      </c>
      <c r="K16" s="63">
        <v>1283852.75</v>
      </c>
      <c r="L16" s="62"/>
      <c r="M16" s="213" t="str">
        <f t="shared" si="0"/>
        <v>Onions</v>
      </c>
      <c r="N16" s="148" t="s">
        <v>83</v>
      </c>
      <c r="O16" s="70" t="s">
        <v>83</v>
      </c>
      <c r="P16" s="70">
        <f>(0.0398*D16)*580</f>
        <v>128752071.86400001</v>
      </c>
    </row>
    <row r="17" spans="1:16" s="4" customFormat="1" ht="25.5">
      <c r="A17" s="11" t="s">
        <v>150</v>
      </c>
      <c r="B17" s="11" t="s">
        <v>149</v>
      </c>
      <c r="C17" s="12">
        <v>5320194</v>
      </c>
      <c r="D17" s="13">
        <v>5480467</v>
      </c>
      <c r="E17" s="112"/>
      <c r="F17" s="61">
        <f>0.7623333333*D17</f>
        <v>4177942.6761506507</v>
      </c>
      <c r="G17" s="62">
        <f>0.6733333333*D17</f>
        <v>3690181.113150651</v>
      </c>
      <c r="H17" s="63">
        <f>0.436*D17</f>
        <v>2389483.612</v>
      </c>
      <c r="I17" s="62"/>
      <c r="J17" s="80" t="s">
        <v>213</v>
      </c>
      <c r="K17" s="63">
        <v>1242764.16</v>
      </c>
      <c r="L17" s="62"/>
      <c r="M17" s="213" t="str">
        <f t="shared" si="0"/>
        <v>Apples</v>
      </c>
      <c r="N17" s="148">
        <f>(H17*600)*(4/5.67)</f>
        <v>1011421634.7089946</v>
      </c>
      <c r="O17" s="70">
        <f>(0.117*D17)*13585</f>
        <v>8710900870.815</v>
      </c>
      <c r="P17" s="70">
        <f>(0.0348*D17)*580</f>
        <v>110617745.92799999</v>
      </c>
    </row>
    <row r="18" spans="1:16" s="4" customFormat="1" ht="25.5">
      <c r="A18" s="11" t="s">
        <v>55</v>
      </c>
      <c r="B18" s="11" t="s">
        <v>149</v>
      </c>
      <c r="C18" s="12">
        <v>5436847</v>
      </c>
      <c r="D18" s="13">
        <v>4914248</v>
      </c>
      <c r="E18" s="112"/>
      <c r="F18" s="61">
        <f>0.06925*D18</f>
        <v>340311.67400000006</v>
      </c>
      <c r="G18" s="62" t="s">
        <v>66</v>
      </c>
      <c r="H18" s="63">
        <f>((6.93*20/100)/100)*D18</f>
        <v>68111.47727999999</v>
      </c>
      <c r="I18" s="62"/>
      <c r="J18" s="80" t="s">
        <v>151</v>
      </c>
      <c r="K18" s="63">
        <v>1125601.33</v>
      </c>
      <c r="L18" s="62"/>
      <c r="M18" s="213" t="str">
        <f t="shared" si="0"/>
        <v>Yams</v>
      </c>
      <c r="N18" s="148" t="s">
        <v>83</v>
      </c>
      <c r="O18" s="70">
        <f>(0.0247*D18)*13585</f>
        <v>1648973459.276</v>
      </c>
      <c r="P18" s="70">
        <f>(0.018*D18)*580</f>
        <v>51304749.12</v>
      </c>
    </row>
    <row r="19" spans="1:16" s="4" customFormat="1" ht="25.5">
      <c r="A19" s="11" t="s">
        <v>152</v>
      </c>
      <c r="B19" s="11" t="s">
        <v>149</v>
      </c>
      <c r="C19" s="12">
        <v>4729940</v>
      </c>
      <c r="D19" s="13">
        <v>4174237</v>
      </c>
      <c r="E19" s="112"/>
      <c r="F19" s="61" t="s">
        <v>66</v>
      </c>
      <c r="G19" s="62" t="s">
        <v>66</v>
      </c>
      <c r="H19" s="63">
        <f>0.527*D19</f>
        <v>2199822.899</v>
      </c>
      <c r="I19" s="62"/>
      <c r="J19" s="80" t="s">
        <v>171</v>
      </c>
      <c r="K19" s="63">
        <v>769996.38</v>
      </c>
      <c r="L19" s="62"/>
      <c r="M19" s="213" t="str">
        <f t="shared" si="0"/>
        <v>Barley</v>
      </c>
      <c r="N19" s="148">
        <f>(H19*600)*(4/5.67)</f>
        <v>931141967.8306879</v>
      </c>
      <c r="O19" s="70" t="s">
        <v>83</v>
      </c>
      <c r="P19" s="70">
        <f>(0.0362*D19)*580</f>
        <v>87642280.052</v>
      </c>
    </row>
    <row r="20" spans="1:16" ht="25.5">
      <c r="A20" s="19" t="s">
        <v>197</v>
      </c>
      <c r="B20" s="19" t="s">
        <v>149</v>
      </c>
      <c r="C20" s="20">
        <v>3528263</v>
      </c>
      <c r="D20" s="13">
        <v>3563727</v>
      </c>
      <c r="E20" s="112"/>
      <c r="F20" s="61" t="s">
        <v>66</v>
      </c>
      <c r="G20" s="62" t="s">
        <v>66</v>
      </c>
      <c r="H20" s="64">
        <f>0.069*D20</f>
        <v>245897.16300000003</v>
      </c>
      <c r="I20" s="62"/>
      <c r="J20" s="80" t="s">
        <v>201</v>
      </c>
      <c r="K20" s="63">
        <v>542476.29</v>
      </c>
      <c r="L20" s="62"/>
      <c r="M20" s="213" t="str">
        <f t="shared" si="0"/>
        <v>Plantains</v>
      </c>
      <c r="N20" s="148">
        <f aca="true" t="shared" si="2" ref="N20:N21">(H20*600)*(4/5.67)</f>
        <v>104083455.23809524</v>
      </c>
      <c r="O20" s="70">
        <f>(0.1765*D20)*13585</f>
        <v>8544935323.567499</v>
      </c>
      <c r="P20" s="70">
        <f>(0.1182*D20)*580</f>
        <v>244314868.21199998</v>
      </c>
    </row>
    <row r="21" spans="1:16" ht="25.5">
      <c r="A21" s="19" t="s">
        <v>211</v>
      </c>
      <c r="B21" s="19" t="s">
        <v>149</v>
      </c>
      <c r="C21" s="20">
        <v>3286588</v>
      </c>
      <c r="D21" s="13">
        <v>3230788</v>
      </c>
      <c r="E21" s="112"/>
      <c r="F21" s="61" t="s">
        <v>66</v>
      </c>
      <c r="G21" s="62" t="s">
        <v>66</v>
      </c>
      <c r="H21" s="64">
        <f>0.6495*D21</f>
        <v>2098396.806</v>
      </c>
      <c r="I21" s="62"/>
      <c r="J21" s="80" t="s">
        <v>188</v>
      </c>
      <c r="K21" s="63">
        <v>493612.82</v>
      </c>
      <c r="L21" s="62"/>
      <c r="M21" s="213" t="str">
        <f t="shared" si="0"/>
        <v>Sorghum</v>
      </c>
      <c r="N21" s="148">
        <f t="shared" si="2"/>
        <v>888210288.2539681</v>
      </c>
      <c r="O21" s="70" t="s">
        <v>83</v>
      </c>
      <c r="P21" s="70">
        <f>(0.122*D21)*580</f>
        <v>228610558.88</v>
      </c>
    </row>
    <row r="22" spans="1:16" ht="25.5">
      <c r="A22" s="19" t="s">
        <v>163</v>
      </c>
      <c r="B22" s="19" t="s">
        <v>149</v>
      </c>
      <c r="C22" s="20">
        <v>2716648</v>
      </c>
      <c r="D22" s="13">
        <v>2977341</v>
      </c>
      <c r="E22" s="112"/>
      <c r="F22" s="65">
        <f>0.8462*D22</f>
        <v>2519425.9542</v>
      </c>
      <c r="G22" s="62" t="s">
        <v>66</v>
      </c>
      <c r="H22" s="63">
        <f>((6.93*30/100)/100)*D22</f>
        <v>61898.91938999999</v>
      </c>
      <c r="I22" s="62"/>
      <c r="J22" s="80" t="s">
        <v>166</v>
      </c>
      <c r="K22" s="63">
        <v>445162.14</v>
      </c>
      <c r="L22" s="62"/>
      <c r="M22" s="213" t="str">
        <f t="shared" si="0"/>
        <v>Coconuts - Incl Copra</v>
      </c>
      <c r="N22" s="148" t="s">
        <v>83</v>
      </c>
      <c r="O22" s="70" t="s">
        <v>83</v>
      </c>
      <c r="P22" s="70">
        <f>(0.02*D22)*580</f>
        <v>34537155.6</v>
      </c>
    </row>
    <row r="23" spans="1:16" ht="25.5">
      <c r="A23" s="19" t="s">
        <v>213</v>
      </c>
      <c r="B23" s="19" t="s">
        <v>149</v>
      </c>
      <c r="C23" s="20">
        <v>4167983</v>
      </c>
      <c r="D23" s="13">
        <v>2824464</v>
      </c>
      <c r="E23" s="112"/>
      <c r="F23" s="61" t="s">
        <v>66</v>
      </c>
      <c r="G23" s="62" t="s">
        <v>66</v>
      </c>
      <c r="H23" s="64">
        <f>0.44*D23</f>
        <v>1242764.16</v>
      </c>
      <c r="I23" s="62"/>
      <c r="J23" s="80" t="s">
        <v>228</v>
      </c>
      <c r="K23" s="63">
        <v>394637.32</v>
      </c>
      <c r="L23" s="62"/>
      <c r="M23" s="213" t="str">
        <f t="shared" si="0"/>
        <v>Soyabeans</v>
      </c>
      <c r="N23" s="148">
        <f>(H23*600)*(4/5.67)</f>
        <v>526037739.68253964</v>
      </c>
      <c r="O23" s="71" t="s">
        <v>83</v>
      </c>
      <c r="P23" s="70">
        <f>(0.1624*D23)*580</f>
        <v>266041913.08799997</v>
      </c>
    </row>
    <row r="24" spans="1:16" s="4" customFormat="1" ht="25.5">
      <c r="A24" s="11" t="s">
        <v>171</v>
      </c>
      <c r="B24" s="11" t="s">
        <v>149</v>
      </c>
      <c r="C24" s="12">
        <v>2346477</v>
      </c>
      <c r="D24" s="13">
        <v>2791612</v>
      </c>
      <c r="E24" s="112"/>
      <c r="F24" s="61" t="s">
        <v>79</v>
      </c>
      <c r="G24" s="62" t="s">
        <v>83</v>
      </c>
      <c r="H24" s="63">
        <f>0.275825*D24</f>
        <v>769996.3798999999</v>
      </c>
      <c r="I24" s="62"/>
      <c r="J24" s="80" t="s">
        <v>178</v>
      </c>
      <c r="K24" s="63">
        <v>299019.12</v>
      </c>
      <c r="L24" s="62"/>
      <c r="M24" s="213" t="str">
        <f t="shared" si="0"/>
        <v>Grapes</v>
      </c>
      <c r="N24" s="148">
        <f>(H24*600)*(4/5.67)</f>
        <v>325924393.60846555</v>
      </c>
      <c r="O24" s="70">
        <f>(0.0362*D24)*13585</f>
        <v>1372850574.5240002</v>
      </c>
      <c r="P24" s="70">
        <f>(0.0975*D24)*580</f>
        <v>157865658.6</v>
      </c>
    </row>
    <row r="25" spans="1:16" ht="25.5">
      <c r="A25" s="19" t="s">
        <v>181</v>
      </c>
      <c r="B25" s="19" t="s">
        <v>149</v>
      </c>
      <c r="C25" s="20">
        <v>2511691</v>
      </c>
      <c r="D25" s="13">
        <v>2648228</v>
      </c>
      <c r="E25" s="112"/>
      <c r="F25" s="65" t="s">
        <v>83</v>
      </c>
      <c r="G25" s="66" t="s">
        <v>83</v>
      </c>
      <c r="H25" s="64" t="s">
        <v>83</v>
      </c>
      <c r="I25" s="62"/>
      <c r="J25" s="80" t="s">
        <v>196</v>
      </c>
      <c r="K25" s="63">
        <v>261361.23</v>
      </c>
      <c r="L25" s="62"/>
      <c r="M25" s="213" t="str">
        <f t="shared" si="0"/>
        <v>Millet</v>
      </c>
      <c r="N25" s="148" t="s">
        <v>83</v>
      </c>
      <c r="O25" s="70"/>
      <c r="P25" s="70" t="s">
        <v>83</v>
      </c>
    </row>
    <row r="26" spans="1:16" ht="25.5">
      <c r="A26" s="19" t="s">
        <v>196</v>
      </c>
      <c r="B26" s="19" t="s">
        <v>149</v>
      </c>
      <c r="C26" s="20">
        <v>2291941</v>
      </c>
      <c r="D26" s="13">
        <v>2435799</v>
      </c>
      <c r="E26" s="112"/>
      <c r="F26" s="65" t="s">
        <v>83</v>
      </c>
      <c r="G26" s="66" t="s">
        <v>83</v>
      </c>
      <c r="H26" s="64">
        <f>0.1073*D26</f>
        <v>261361.23270000002</v>
      </c>
      <c r="I26" s="62"/>
      <c r="J26" s="80" t="s">
        <v>197</v>
      </c>
      <c r="K26" s="63">
        <v>245897.16</v>
      </c>
      <c r="L26" s="62"/>
      <c r="M26" s="213" t="str">
        <f t="shared" si="0"/>
        <v>Pineapples</v>
      </c>
      <c r="N26" s="148" t="s">
        <v>83</v>
      </c>
      <c r="O26" s="70">
        <f>(0.063*D26)*13585</f>
        <v>2084690753.145</v>
      </c>
      <c r="P26" s="70">
        <f>(0.0245*D26)*580</f>
        <v>34612703.79</v>
      </c>
    </row>
    <row r="27" spans="1:16" ht="25.5">
      <c r="A27" s="19" t="s">
        <v>201</v>
      </c>
      <c r="B27" s="19" t="s">
        <v>149</v>
      </c>
      <c r="C27" s="20">
        <v>1294728</v>
      </c>
      <c r="D27" s="13">
        <v>1273568</v>
      </c>
      <c r="E27" s="112"/>
      <c r="F27" s="65" t="s">
        <v>83</v>
      </c>
      <c r="G27" s="66" t="s">
        <v>83</v>
      </c>
      <c r="H27" s="64">
        <f>((0.3659+0.486)/2)*D27</f>
        <v>542476.2896</v>
      </c>
      <c r="I27" s="62"/>
      <c r="J27" s="80" t="s">
        <v>206</v>
      </c>
      <c r="K27" s="63">
        <v>164733.15</v>
      </c>
      <c r="L27" s="62"/>
      <c r="M27" s="213" t="str">
        <f t="shared" si="0"/>
        <v>Rape and Mustardseed</v>
      </c>
      <c r="N27" s="148">
        <f>(H27*600)*(4/5.67)</f>
        <v>229619593.48148146</v>
      </c>
      <c r="O27" s="70" t="s">
        <v>83</v>
      </c>
      <c r="P27" s="70">
        <f>((0.045+0.0303/2)*D27)*580</f>
        <v>44430966.816</v>
      </c>
    </row>
    <row r="28" spans="1:16" ht="25.5">
      <c r="A28" s="19" t="s">
        <v>199</v>
      </c>
      <c r="B28" s="19" t="s">
        <v>149</v>
      </c>
      <c r="C28" s="20">
        <v>1286465</v>
      </c>
      <c r="D28" s="13">
        <v>1263298</v>
      </c>
      <c r="E28" s="112"/>
      <c r="F28" s="65" t="s">
        <v>83</v>
      </c>
      <c r="G28" s="66" t="s">
        <v>83</v>
      </c>
      <c r="H28" s="64" t="s">
        <v>83</v>
      </c>
      <c r="I28" s="62"/>
      <c r="J28" s="80" t="s">
        <v>184</v>
      </c>
      <c r="K28" s="63">
        <v>145788.1</v>
      </c>
      <c r="L28" s="62"/>
      <c r="M28" s="213" t="str">
        <f t="shared" si="0"/>
        <v>Pulses, Other</v>
      </c>
      <c r="N28" s="148" t="s">
        <v>83</v>
      </c>
      <c r="O28" s="70" t="s">
        <v>83</v>
      </c>
      <c r="P28" s="70" t="s">
        <v>83</v>
      </c>
    </row>
    <row r="29" spans="1:16" s="4" customFormat="1" ht="25.5">
      <c r="A29" s="11" t="s">
        <v>178</v>
      </c>
      <c r="B29" s="11" t="s">
        <v>149</v>
      </c>
      <c r="C29" s="12">
        <v>1213319</v>
      </c>
      <c r="D29" s="13">
        <v>1245913</v>
      </c>
      <c r="E29" s="112"/>
      <c r="F29" s="61">
        <f>0.642*D29</f>
        <v>799876.1460000001</v>
      </c>
      <c r="G29" s="62">
        <f>0.5564333333*D29</f>
        <v>693267.5235918029</v>
      </c>
      <c r="H29" s="63">
        <f>0.24*D29</f>
        <v>299019.12</v>
      </c>
      <c r="I29" s="62"/>
      <c r="J29" s="80" t="s">
        <v>216</v>
      </c>
      <c r="K29" s="63">
        <v>118540.84</v>
      </c>
      <c r="L29" s="62"/>
      <c r="M29" s="213" t="str">
        <f t="shared" si="0"/>
        <v>Lemons, Limes</v>
      </c>
      <c r="N29" s="148">
        <f>(H29*600)*(4/5.67)</f>
        <v>126568939.68253967</v>
      </c>
      <c r="O29" s="70">
        <f>(0.1777*D29)*13585</f>
        <v>3007701884.2585</v>
      </c>
      <c r="P29" s="70">
        <f>(0.0761*D29)*580</f>
        <v>54992107.994</v>
      </c>
    </row>
    <row r="30" spans="1:16" ht="25.5">
      <c r="A30" s="19" t="s">
        <v>166</v>
      </c>
      <c r="B30" s="19" t="s">
        <v>149</v>
      </c>
      <c r="C30" s="20">
        <v>988742</v>
      </c>
      <c r="D30" s="13">
        <v>1088416</v>
      </c>
      <c r="E30" s="112"/>
      <c r="F30" s="65"/>
      <c r="G30" s="66"/>
      <c r="H30" s="64">
        <f>0.409*D30</f>
        <v>445162.144</v>
      </c>
      <c r="I30" s="62"/>
      <c r="J30" s="80" t="s">
        <v>223</v>
      </c>
      <c r="K30" s="63">
        <v>108945.37</v>
      </c>
      <c r="L30" s="62"/>
      <c r="M30" s="213" t="str">
        <f t="shared" si="0"/>
        <v>Cottonseed</v>
      </c>
      <c r="N30" s="148">
        <f>(H30*600)*(4/5.67)</f>
        <v>188428420.74074072</v>
      </c>
      <c r="O30" s="70">
        <f aca="true" t="shared" si="3" ref="O30">(0.1777*D30)*13585</f>
        <v>2627495542.672</v>
      </c>
      <c r="P30" s="70">
        <f>(0.358*D30)*580</f>
        <v>225998698.23999998</v>
      </c>
    </row>
    <row r="31" spans="1:16" ht="25.5">
      <c r="A31" s="19" t="s">
        <v>174</v>
      </c>
      <c r="B31" s="19" t="s">
        <v>149</v>
      </c>
      <c r="C31" s="20">
        <v>1035325</v>
      </c>
      <c r="D31" s="13">
        <v>1038715</v>
      </c>
      <c r="E31" s="112"/>
      <c r="F31" s="65" t="s">
        <v>83</v>
      </c>
      <c r="G31" s="66" t="s">
        <v>83</v>
      </c>
      <c r="H31" s="64" t="s">
        <v>83</v>
      </c>
      <c r="I31" s="62"/>
      <c r="J31" s="80" t="s">
        <v>113</v>
      </c>
      <c r="K31" s="63">
        <v>103153.63</v>
      </c>
      <c r="L31" s="62"/>
      <c r="M31" s="213" t="str">
        <f t="shared" si="0"/>
        <v>Groundnuts (Shelled Eq)</v>
      </c>
      <c r="N31" s="148" t="s">
        <v>83</v>
      </c>
      <c r="O31" s="70" t="s">
        <v>83</v>
      </c>
      <c r="P31" s="70" t="s">
        <v>83</v>
      </c>
    </row>
    <row r="32" spans="1:16" ht="25.5">
      <c r="A32" s="19" t="s">
        <v>153</v>
      </c>
      <c r="B32" s="19" t="s">
        <v>149</v>
      </c>
      <c r="C32" s="20">
        <v>999394</v>
      </c>
      <c r="D32" s="13">
        <v>1006788</v>
      </c>
      <c r="E32" s="112"/>
      <c r="F32" s="65" t="s">
        <v>83</v>
      </c>
      <c r="G32" s="66" t="s">
        <v>83</v>
      </c>
      <c r="H32" s="64" t="s">
        <v>83</v>
      </c>
      <c r="I32" s="62"/>
      <c r="J32" s="80" t="s">
        <v>170</v>
      </c>
      <c r="K32" s="63">
        <v>94670.5</v>
      </c>
      <c r="L32" s="62"/>
      <c r="M32" s="213" t="str">
        <f t="shared" si="0"/>
        <v>Beans</v>
      </c>
      <c r="N32" s="148" t="s">
        <v>83</v>
      </c>
      <c r="O32" s="70" t="s">
        <v>83</v>
      </c>
      <c r="P32" s="70" t="s">
        <v>83</v>
      </c>
    </row>
    <row r="33" spans="1:16" ht="25.5">
      <c r="A33" s="19" t="s">
        <v>212</v>
      </c>
      <c r="B33" s="19" t="s">
        <v>149</v>
      </c>
      <c r="C33" s="20">
        <v>910315</v>
      </c>
      <c r="D33" s="13">
        <v>896903</v>
      </c>
      <c r="E33" s="112"/>
      <c r="F33" s="65"/>
      <c r="G33" s="66"/>
      <c r="H33" s="64">
        <f>0.44*D33</f>
        <v>394637.32</v>
      </c>
      <c r="I33" s="62"/>
      <c r="J33" s="80" t="s">
        <v>55</v>
      </c>
      <c r="K33" s="63">
        <v>68111.48</v>
      </c>
      <c r="L33" s="62"/>
      <c r="M33" s="213" t="str">
        <f t="shared" si="0"/>
        <v>Soyabean Oil</v>
      </c>
      <c r="N33" s="148">
        <f>(H33*600)*(4/5.67)</f>
        <v>167042251.85185185</v>
      </c>
      <c r="O33" s="70" t="s">
        <v>83</v>
      </c>
      <c r="P33" s="70">
        <f>(0.1624*D33)*580</f>
        <v>84481087.376</v>
      </c>
    </row>
    <row r="34" spans="1:16" ht="25.5">
      <c r="A34" s="19" t="s">
        <v>158</v>
      </c>
      <c r="B34" s="19" t="s">
        <v>149</v>
      </c>
      <c r="C34" s="20">
        <v>602134</v>
      </c>
      <c r="D34" s="13">
        <v>802855</v>
      </c>
      <c r="E34" s="112"/>
      <c r="F34" s="65" t="s">
        <v>83</v>
      </c>
      <c r="G34" s="66" t="s">
        <v>83</v>
      </c>
      <c r="H34" s="64" t="s">
        <v>83</v>
      </c>
      <c r="I34" s="62"/>
      <c r="J34" s="83" t="s">
        <v>111</v>
      </c>
      <c r="K34" s="77">
        <v>61898.92</v>
      </c>
      <c r="L34" s="62"/>
      <c r="M34" s="213" t="str">
        <f t="shared" si="0"/>
        <v>Cereals, Other</v>
      </c>
      <c r="N34" s="148" t="s">
        <v>83</v>
      </c>
      <c r="O34" s="70" t="s">
        <v>83</v>
      </c>
      <c r="P34" s="70" t="s">
        <v>83</v>
      </c>
    </row>
    <row r="35" spans="1:16" ht="25.5">
      <c r="A35" s="19" t="s">
        <v>184</v>
      </c>
      <c r="B35" s="19" t="s">
        <v>149</v>
      </c>
      <c r="C35" s="20">
        <v>542607</v>
      </c>
      <c r="D35" s="13">
        <v>625700</v>
      </c>
      <c r="E35" s="112"/>
      <c r="F35" s="65" t="s">
        <v>83</v>
      </c>
      <c r="G35" s="66" t="s">
        <v>83</v>
      </c>
      <c r="H35" s="64">
        <f>0.233*D35</f>
        <v>145788.1</v>
      </c>
      <c r="I35" s="62"/>
      <c r="J35" s="78"/>
      <c r="K35" s="62"/>
      <c r="L35" s="62"/>
      <c r="M35" s="213" t="str">
        <f t="shared" si="0"/>
        <v>Oats</v>
      </c>
      <c r="N35" s="148">
        <f>(H35*600)*(4/5.67)</f>
        <v>61709248.67724867</v>
      </c>
      <c r="O35" s="70" t="s">
        <v>83</v>
      </c>
      <c r="P35" s="70">
        <f>(0.0867*D35)*580</f>
        <v>31463950.200000003</v>
      </c>
    </row>
    <row r="36" spans="1:16" ht="25.5">
      <c r="A36" s="19" t="s">
        <v>223</v>
      </c>
      <c r="B36" s="19" t="s">
        <v>149</v>
      </c>
      <c r="C36" s="20">
        <v>635927</v>
      </c>
      <c r="D36" s="13">
        <v>575517</v>
      </c>
      <c r="E36" s="112"/>
      <c r="F36" s="65" t="s">
        <v>83</v>
      </c>
      <c r="G36" s="66" t="s">
        <v>83</v>
      </c>
      <c r="H36" s="64">
        <f>0.1893*D36</f>
        <v>108945.36809999999</v>
      </c>
      <c r="I36" s="62"/>
      <c r="J36" s="78"/>
      <c r="K36" s="62"/>
      <c r="L36" s="62"/>
      <c r="M36" s="213" t="str">
        <f t="shared" si="0"/>
        <v>Sunflowerseed</v>
      </c>
      <c r="N36" s="148">
        <f>(H36*600)*(4/5.67)</f>
        <v>46114441.523809515</v>
      </c>
      <c r="O36" s="70">
        <f>(0.1185*D36)*13585</f>
        <v>926480215.7324998</v>
      </c>
      <c r="P36" s="70">
        <f>(0.1312*D36)*580</f>
        <v>43794541.63200001</v>
      </c>
    </row>
    <row r="37" spans="1:16" ht="25.5">
      <c r="A37" s="19" t="s">
        <v>216</v>
      </c>
      <c r="B37" s="19" t="s">
        <v>149</v>
      </c>
      <c r="C37" s="20">
        <v>557229</v>
      </c>
      <c r="D37" s="13">
        <v>538822</v>
      </c>
      <c r="E37" s="112"/>
      <c r="F37" s="65" t="s">
        <v>83</v>
      </c>
      <c r="G37" s="66" t="s">
        <v>83</v>
      </c>
      <c r="H37" s="64">
        <f>0.22*D37</f>
        <v>118540.84</v>
      </c>
      <c r="I37" s="62"/>
      <c r="J37" s="78"/>
      <c r="K37" s="62"/>
      <c r="L37" s="62"/>
      <c r="M37" s="213" t="str">
        <f t="shared" si="0"/>
        <v>Sugar Beet</v>
      </c>
      <c r="N37" s="148">
        <f>(H37*600)*(4/5.67)</f>
        <v>50176016.931216925</v>
      </c>
      <c r="O37" s="70">
        <f>(0.27*D37)*13585</f>
        <v>1976372154.9</v>
      </c>
      <c r="P37" s="70">
        <f>(0.07*D37)*580</f>
        <v>21876173.2</v>
      </c>
    </row>
    <row r="38" spans="1:16" ht="25.5">
      <c r="A38" s="19" t="s">
        <v>206</v>
      </c>
      <c r="B38" s="19" t="s">
        <v>149</v>
      </c>
      <c r="C38" s="20">
        <v>483873</v>
      </c>
      <c r="D38" s="13">
        <v>533117</v>
      </c>
      <c r="E38" s="112"/>
      <c r="F38" s="65" t="s">
        <v>83</v>
      </c>
      <c r="G38" s="66" t="s">
        <v>83</v>
      </c>
      <c r="H38" s="64">
        <f>0.309*D38</f>
        <v>164733.153</v>
      </c>
      <c r="I38" s="62"/>
      <c r="J38" s="78"/>
      <c r="K38" s="62"/>
      <c r="L38" s="62"/>
      <c r="M38" s="213" t="str">
        <f t="shared" si="0"/>
        <v>Rye</v>
      </c>
      <c r="N38" s="148">
        <f>(H38*600)*(4/5.67)</f>
        <v>69728318.73015873</v>
      </c>
      <c r="O38" s="70" t="s">
        <v>83</v>
      </c>
      <c r="P38" s="70">
        <f>(0.033*D38)*580</f>
        <v>10203859.38</v>
      </c>
    </row>
    <row r="39" spans="1:16" ht="25.5">
      <c r="A39" s="19" t="s">
        <v>168</v>
      </c>
      <c r="B39" s="19" t="s">
        <v>149</v>
      </c>
      <c r="C39" s="20">
        <v>395967</v>
      </c>
      <c r="D39" s="13">
        <v>400339</v>
      </c>
      <c r="E39" s="112"/>
      <c r="F39" s="65" t="s">
        <v>83</v>
      </c>
      <c r="G39" s="66" t="s">
        <v>83</v>
      </c>
      <c r="H39" s="64" t="s">
        <v>83</v>
      </c>
      <c r="I39" s="62"/>
      <c r="J39" s="78"/>
      <c r="K39" s="62"/>
      <c r="L39" s="62"/>
      <c r="M39" s="213" t="str">
        <f t="shared" si="0"/>
        <v>Dates</v>
      </c>
      <c r="N39" s="148" t="s">
        <v>83</v>
      </c>
      <c r="O39" s="70" t="s">
        <v>83</v>
      </c>
      <c r="P39" s="70" t="s">
        <v>83</v>
      </c>
    </row>
    <row r="40" spans="1:16" ht="25.5">
      <c r="A40" s="19" t="s">
        <v>193</v>
      </c>
      <c r="B40" s="19" t="s">
        <v>149</v>
      </c>
      <c r="C40" s="20">
        <v>404926</v>
      </c>
      <c r="D40" s="13">
        <v>374128</v>
      </c>
      <c r="E40" s="112"/>
      <c r="F40" s="65" t="s">
        <v>83</v>
      </c>
      <c r="G40" s="66" t="s">
        <v>83</v>
      </c>
      <c r="H40" s="64" t="s">
        <v>83</v>
      </c>
      <c r="I40" s="62"/>
      <c r="J40" s="78"/>
      <c r="K40" s="62"/>
      <c r="L40" s="62"/>
      <c r="M40" s="213" t="str">
        <f t="shared" si="0"/>
        <v>Peas</v>
      </c>
      <c r="N40" s="148" t="s">
        <v>83</v>
      </c>
      <c r="O40" s="70" t="s">
        <v>83</v>
      </c>
      <c r="P40" s="70" t="s">
        <v>83</v>
      </c>
    </row>
    <row r="41" spans="1:16" s="4" customFormat="1" ht="25.5">
      <c r="A41" s="11" t="s">
        <v>170</v>
      </c>
      <c r="B41" s="11" t="s">
        <v>149</v>
      </c>
      <c r="C41" s="12">
        <v>338242</v>
      </c>
      <c r="D41" s="13">
        <v>356306</v>
      </c>
      <c r="E41" s="112"/>
      <c r="F41" s="231">
        <f>0.534*D41</f>
        <v>190267.404</v>
      </c>
      <c r="G41" s="232">
        <f>0.469*D41</f>
        <v>167107.514</v>
      </c>
      <c r="H41" s="77">
        <f>0.2657*D41</f>
        <v>94670.5042</v>
      </c>
      <c r="I41" s="62"/>
      <c r="J41" s="78"/>
      <c r="K41" s="62"/>
      <c r="L41" s="62"/>
      <c r="M41" s="125" t="str">
        <f t="shared" si="0"/>
        <v>Grapefruit</v>
      </c>
      <c r="N41" s="119">
        <f>(H41*600)*(4/5.67)</f>
        <v>40072171.08994708</v>
      </c>
      <c r="O41" s="132">
        <f>(0.0853*D41)*13585</f>
        <v>412887570.953</v>
      </c>
      <c r="P41" s="132">
        <f>(0.0846*D41)*580</f>
        <v>17483222.808</v>
      </c>
    </row>
    <row r="42" spans="1:16" ht="25.5">
      <c r="A42" s="19" t="s">
        <v>186</v>
      </c>
      <c r="B42" s="19" t="s">
        <v>149</v>
      </c>
      <c r="C42" s="20">
        <v>318444</v>
      </c>
      <c r="D42" s="13">
        <v>325804</v>
      </c>
      <c r="E42" s="112"/>
      <c r="F42" s="66"/>
      <c r="G42" s="66"/>
      <c r="H42" s="66"/>
      <c r="I42" s="62"/>
      <c r="J42" s="66"/>
      <c r="K42" s="66"/>
      <c r="L42" s="62"/>
      <c r="M42" s="122"/>
      <c r="N42" s="57"/>
      <c r="O42" s="57"/>
      <c r="P42" s="57"/>
    </row>
    <row r="43" spans="1:16" ht="25.5">
      <c r="A43" s="19" t="s">
        <v>183</v>
      </c>
      <c r="B43" s="19" t="s">
        <v>149</v>
      </c>
      <c r="C43" s="20">
        <v>288732</v>
      </c>
      <c r="D43" s="13">
        <v>317372</v>
      </c>
      <c r="E43" s="112"/>
      <c r="F43" s="66"/>
      <c r="G43" s="66"/>
      <c r="H43" s="66"/>
      <c r="I43" s="62"/>
      <c r="J43" s="66"/>
      <c r="K43" s="66"/>
      <c r="L43" s="62"/>
      <c r="M43" s="122"/>
      <c r="N43" s="57"/>
      <c r="O43" s="57"/>
      <c r="P43" s="57"/>
    </row>
    <row r="44" spans="1:16" ht="25.5">
      <c r="A44" s="19" t="s">
        <v>190</v>
      </c>
      <c r="B44" s="19" t="s">
        <v>149</v>
      </c>
      <c r="C44" s="20">
        <v>250524</v>
      </c>
      <c r="D44" s="13">
        <v>247643</v>
      </c>
      <c r="E44" s="112"/>
      <c r="F44" s="66"/>
      <c r="G44" s="66"/>
      <c r="H44" s="66"/>
      <c r="I44" s="62"/>
      <c r="J44" s="66"/>
      <c r="K44" s="66"/>
      <c r="L44" s="62"/>
      <c r="M44" s="122"/>
      <c r="N44" s="57"/>
      <c r="O44" s="57"/>
      <c r="P44" s="57"/>
    </row>
    <row r="45" spans="1:16" ht="25.5">
      <c r="A45" s="19" t="s">
        <v>221</v>
      </c>
      <c r="B45" s="19" t="s">
        <v>149</v>
      </c>
      <c r="C45" s="20">
        <v>247830</v>
      </c>
      <c r="D45" s="13">
        <v>228595</v>
      </c>
      <c r="E45" s="112"/>
      <c r="F45" s="66"/>
      <c r="G45" s="66"/>
      <c r="H45" s="66"/>
      <c r="I45" s="62"/>
      <c r="J45" s="66"/>
      <c r="K45" s="66"/>
      <c r="L45" s="62"/>
      <c r="M45" s="122"/>
      <c r="N45" s="57"/>
      <c r="O45" s="57"/>
      <c r="P45" s="57"/>
    </row>
    <row r="46" spans="1:16" ht="25.5">
      <c r="A46" s="19" t="s">
        <v>156</v>
      </c>
      <c r="B46" s="19" t="s">
        <v>149</v>
      </c>
      <c r="C46" s="20">
        <v>210540</v>
      </c>
      <c r="D46" s="13">
        <v>219270</v>
      </c>
      <c r="E46" s="112"/>
      <c r="F46" s="66"/>
      <c r="G46" s="66"/>
      <c r="H46" s="66"/>
      <c r="I46" s="62"/>
      <c r="J46" s="66"/>
      <c r="K46" s="66"/>
      <c r="L46" s="62"/>
      <c r="M46" s="122"/>
      <c r="N46" s="57"/>
      <c r="O46" s="57"/>
      <c r="P46" s="57"/>
    </row>
    <row r="47" spans="1:16" s="4" customFormat="1" ht="25.5">
      <c r="A47" s="11" t="s">
        <v>187</v>
      </c>
      <c r="B47" s="11" t="s">
        <v>149</v>
      </c>
      <c r="C47" s="12">
        <v>260769</v>
      </c>
      <c r="D47" s="13">
        <v>207081</v>
      </c>
      <c r="E47" s="112"/>
      <c r="F47" s="62"/>
      <c r="G47" s="62"/>
      <c r="H47" s="62"/>
      <c r="I47" s="62"/>
      <c r="J47" s="62"/>
      <c r="K47" s="62"/>
      <c r="L47" s="62"/>
      <c r="M47" s="122"/>
      <c r="N47" s="56"/>
      <c r="O47" s="56"/>
      <c r="P47" s="56"/>
    </row>
    <row r="48" spans="1:16" ht="25.5">
      <c r="A48" s="19" t="s">
        <v>215</v>
      </c>
      <c r="B48" s="19" t="s">
        <v>149</v>
      </c>
      <c r="C48" s="20">
        <v>218610</v>
      </c>
      <c r="D48" s="13">
        <v>199997</v>
      </c>
      <c r="E48" s="112"/>
      <c r="F48" s="66"/>
      <c r="G48" s="66"/>
      <c r="H48" s="66"/>
      <c r="I48" s="62"/>
      <c r="J48" s="66"/>
      <c r="K48" s="66"/>
      <c r="L48" s="62"/>
      <c r="M48" s="122"/>
      <c r="N48" s="57"/>
      <c r="O48" s="57"/>
      <c r="P48" s="57"/>
    </row>
    <row r="49" spans="1:16" ht="25.5">
      <c r="A49" s="19" t="s">
        <v>222</v>
      </c>
      <c r="B49" s="19" t="s">
        <v>149</v>
      </c>
      <c r="C49" s="20">
        <v>201121</v>
      </c>
      <c r="D49" s="13">
        <v>183998</v>
      </c>
      <c r="E49" s="112"/>
      <c r="F49" s="66"/>
      <c r="G49" s="66"/>
      <c r="H49" s="66"/>
      <c r="I49" s="62"/>
      <c r="J49" s="66"/>
      <c r="K49" s="66"/>
      <c r="L49" s="62"/>
      <c r="M49" s="122"/>
      <c r="N49" s="57"/>
      <c r="O49" s="57"/>
      <c r="P49" s="57"/>
    </row>
    <row r="50" spans="1:16" s="4" customFormat="1" ht="25.5">
      <c r="A50" s="11" t="s">
        <v>54</v>
      </c>
      <c r="B50" s="11" t="s">
        <v>149</v>
      </c>
      <c r="C50" s="12">
        <v>265342</v>
      </c>
      <c r="D50" s="13">
        <v>171979</v>
      </c>
      <c r="E50" s="112"/>
      <c r="F50" s="62"/>
      <c r="G50" s="62"/>
      <c r="H50" s="62"/>
      <c r="I50" s="62"/>
      <c r="J50" s="62"/>
      <c r="K50" s="62"/>
      <c r="L50" s="62"/>
      <c r="M50" s="122"/>
      <c r="N50" s="56"/>
      <c r="O50" s="56"/>
      <c r="P50" s="56"/>
    </row>
    <row r="51" spans="1:16" ht="25.5">
      <c r="A51" s="19" t="s">
        <v>164</v>
      </c>
      <c r="B51" s="19" t="s">
        <v>149</v>
      </c>
      <c r="C51" s="20">
        <v>112494</v>
      </c>
      <c r="D51" s="13">
        <v>121104</v>
      </c>
      <c r="E51" s="112"/>
      <c r="F51" s="66"/>
      <c r="G51" s="66"/>
      <c r="H51" s="66"/>
      <c r="I51" s="62"/>
      <c r="J51" s="66"/>
      <c r="K51" s="66"/>
      <c r="L51" s="62"/>
      <c r="M51" s="122"/>
      <c r="N51" s="57"/>
      <c r="O51" s="57"/>
      <c r="P51" s="57"/>
    </row>
    <row r="52" spans="1:16" ht="25.5">
      <c r="A52" s="19" t="s">
        <v>207</v>
      </c>
      <c r="B52" s="19" t="s">
        <v>149</v>
      </c>
      <c r="C52" s="20">
        <v>129859</v>
      </c>
      <c r="D52" s="13">
        <v>119347</v>
      </c>
      <c r="E52" s="112"/>
      <c r="F52" s="66"/>
      <c r="G52" s="66"/>
      <c r="H52" s="66"/>
      <c r="I52" s="62"/>
      <c r="J52" s="66"/>
      <c r="K52" s="66"/>
      <c r="L52" s="62"/>
      <c r="M52" s="122"/>
      <c r="N52" s="57"/>
      <c r="O52" s="57"/>
      <c r="P52" s="57"/>
    </row>
    <row r="53" spans="1:16" ht="25.5">
      <c r="A53" s="19" t="s">
        <v>195</v>
      </c>
      <c r="B53" s="19" t="s">
        <v>149</v>
      </c>
      <c r="C53" s="20">
        <v>109402</v>
      </c>
      <c r="D53" s="13">
        <v>111959</v>
      </c>
      <c r="E53" s="112"/>
      <c r="F53" s="66"/>
      <c r="G53" s="66"/>
      <c r="H53" s="66"/>
      <c r="I53" s="62"/>
      <c r="J53" s="66"/>
      <c r="K53" s="66"/>
      <c r="L53" s="62"/>
      <c r="M53" s="122"/>
      <c r="N53" s="57"/>
      <c r="O53" s="57"/>
      <c r="P53" s="57"/>
    </row>
    <row r="54" spans="1:16" ht="25.5">
      <c r="A54" s="19" t="s">
        <v>50</v>
      </c>
      <c r="B54" s="19" t="s">
        <v>149</v>
      </c>
      <c r="C54" s="20">
        <v>109201</v>
      </c>
      <c r="D54" s="13">
        <v>107635</v>
      </c>
      <c r="E54" s="112"/>
      <c r="F54" s="66"/>
      <c r="G54" s="66"/>
      <c r="H54" s="66"/>
      <c r="I54" s="62"/>
      <c r="J54" s="66"/>
      <c r="K54" s="66"/>
      <c r="L54" s="62"/>
      <c r="M54" s="122"/>
      <c r="N54" s="57"/>
      <c r="O54" s="57"/>
      <c r="P54" s="57"/>
    </row>
    <row r="55" spans="1:16" ht="25.5">
      <c r="A55" s="19" t="s">
        <v>161</v>
      </c>
      <c r="B55" s="19" t="s">
        <v>149</v>
      </c>
      <c r="C55" s="20">
        <v>97283</v>
      </c>
      <c r="D55" s="13">
        <v>107123</v>
      </c>
      <c r="E55" s="112"/>
      <c r="F55" s="66"/>
      <c r="G55" s="66"/>
      <c r="H55" s="66"/>
      <c r="I55" s="62"/>
      <c r="J55" s="66"/>
      <c r="K55" s="66"/>
      <c r="L55" s="62"/>
      <c r="M55" s="122"/>
      <c r="N55" s="57"/>
      <c r="O55" s="57"/>
      <c r="P55" s="57"/>
    </row>
    <row r="56" spans="1:16" ht="25.5">
      <c r="A56" s="19" t="s">
        <v>49</v>
      </c>
      <c r="B56" s="19" t="s">
        <v>149</v>
      </c>
      <c r="C56" s="20">
        <v>79740</v>
      </c>
      <c r="D56" s="13">
        <v>84480</v>
      </c>
      <c r="E56" s="112"/>
      <c r="F56" s="66"/>
      <c r="G56" s="66"/>
      <c r="H56" s="66"/>
      <c r="I56" s="62"/>
      <c r="J56" s="66"/>
      <c r="K56" s="66"/>
      <c r="L56" s="62"/>
      <c r="M56" s="122"/>
      <c r="N56" s="57"/>
      <c r="O56" s="57"/>
      <c r="P56" s="57"/>
    </row>
    <row r="57" spans="1:16" ht="25.5">
      <c r="A57" s="19" t="s">
        <v>182</v>
      </c>
      <c r="B57" s="19" t="s">
        <v>149</v>
      </c>
      <c r="C57" s="20">
        <v>55549</v>
      </c>
      <c r="D57" s="13">
        <v>66409</v>
      </c>
      <c r="E57" s="112"/>
      <c r="F57" s="66"/>
      <c r="G57" s="66"/>
      <c r="H57" s="66"/>
      <c r="I57" s="62"/>
      <c r="J57" s="66"/>
      <c r="K57" s="66"/>
      <c r="L57" s="62"/>
      <c r="M57" s="122"/>
      <c r="N57" s="57"/>
      <c r="O57" s="57"/>
      <c r="P57" s="57"/>
    </row>
    <row r="58" spans="1:16" ht="25.5">
      <c r="A58" s="19" t="s">
        <v>154</v>
      </c>
      <c r="B58" s="19" t="s">
        <v>149</v>
      </c>
      <c r="C58" s="20">
        <v>43000</v>
      </c>
      <c r="D58" s="13">
        <v>43000</v>
      </c>
      <c r="E58" s="112"/>
      <c r="F58" s="66"/>
      <c r="G58" s="66"/>
      <c r="H58" s="66"/>
      <c r="I58" s="62"/>
      <c r="J58" s="66"/>
      <c r="K58" s="66"/>
      <c r="L58" s="62"/>
      <c r="M58" s="122"/>
      <c r="N58" s="57"/>
      <c r="O58" s="57"/>
      <c r="P58" s="57"/>
    </row>
    <row r="59" spans="1:16" ht="25.5">
      <c r="A59" s="19" t="s">
        <v>214</v>
      </c>
      <c r="B59" s="19" t="s">
        <v>149</v>
      </c>
      <c r="C59" s="20">
        <v>33243</v>
      </c>
      <c r="D59" s="13">
        <v>32683</v>
      </c>
      <c r="E59" s="112"/>
      <c r="F59" s="66"/>
      <c r="G59" s="66"/>
      <c r="H59" s="66"/>
      <c r="I59" s="62"/>
      <c r="J59" s="66"/>
      <c r="K59" s="66"/>
      <c r="L59" s="62"/>
      <c r="M59" s="122"/>
      <c r="N59" s="57"/>
      <c r="O59" s="57"/>
      <c r="P59" s="57"/>
    </row>
    <row r="60" spans="1:16" ht="25.5">
      <c r="A60" s="19" t="s">
        <v>220</v>
      </c>
      <c r="B60" s="19" t="s">
        <v>149</v>
      </c>
      <c r="C60" s="20">
        <v>29099</v>
      </c>
      <c r="D60" s="13">
        <v>28474</v>
      </c>
      <c r="E60" s="112"/>
      <c r="F60" s="66"/>
      <c r="G60" s="66"/>
      <c r="H60" s="66"/>
      <c r="I60" s="62"/>
      <c r="J60" s="66"/>
      <c r="K60" s="66"/>
      <c r="L60" s="62"/>
      <c r="M60" s="122"/>
      <c r="N60" s="57"/>
      <c r="O60" s="57"/>
      <c r="P60" s="57"/>
    </row>
    <row r="61" spans="1:16" ht="25.5">
      <c r="A61" s="19" t="s">
        <v>191</v>
      </c>
      <c r="B61" s="19" t="s">
        <v>149</v>
      </c>
      <c r="C61" s="20">
        <v>23003</v>
      </c>
      <c r="D61" s="13">
        <v>24979</v>
      </c>
      <c r="E61" s="112"/>
      <c r="F61" s="66"/>
      <c r="G61" s="66"/>
      <c r="H61" s="66"/>
      <c r="I61" s="62"/>
      <c r="J61" s="66"/>
      <c r="K61" s="66"/>
      <c r="L61" s="62"/>
      <c r="M61" s="122"/>
      <c r="N61" s="57"/>
      <c r="O61" s="57"/>
      <c r="P61" s="57"/>
    </row>
    <row r="62" spans="1:16" ht="25.5">
      <c r="A62" s="19" t="s">
        <v>167</v>
      </c>
      <c r="B62" s="19" t="s">
        <v>149</v>
      </c>
      <c r="C62" s="20">
        <v>21027</v>
      </c>
      <c r="D62" s="13">
        <v>23296</v>
      </c>
      <c r="E62" s="112"/>
      <c r="F62" s="66"/>
      <c r="G62" s="66"/>
      <c r="H62" s="66"/>
      <c r="I62" s="62"/>
      <c r="J62" s="66"/>
      <c r="K62" s="66"/>
      <c r="L62" s="62"/>
      <c r="M62" s="122"/>
      <c r="N62" s="57"/>
      <c r="O62" s="57"/>
      <c r="P62" s="57"/>
    </row>
    <row r="63" spans="1:16" ht="25.5">
      <c r="A63" s="19" t="s">
        <v>180</v>
      </c>
      <c r="B63" s="19" t="s">
        <v>149</v>
      </c>
      <c r="C63" s="20">
        <v>20524</v>
      </c>
      <c r="D63" s="13">
        <v>22621</v>
      </c>
      <c r="E63" s="112"/>
      <c r="F63" s="66"/>
      <c r="G63" s="66"/>
      <c r="H63" s="66"/>
      <c r="I63" s="62"/>
      <c r="J63" s="66"/>
      <c r="K63" s="66"/>
      <c r="L63" s="62"/>
      <c r="M63" s="122"/>
      <c r="N63" s="57"/>
      <c r="O63" s="57"/>
      <c r="P63" s="57"/>
    </row>
    <row r="64" spans="1:16" ht="25.5">
      <c r="A64" s="19" t="s">
        <v>185</v>
      </c>
      <c r="B64" s="19" t="s">
        <v>149</v>
      </c>
      <c r="C64" s="20">
        <v>19045</v>
      </c>
      <c r="D64" s="13">
        <v>21085</v>
      </c>
      <c r="E64" s="112"/>
      <c r="F64" s="66"/>
      <c r="G64" s="66"/>
      <c r="H64" s="66"/>
      <c r="I64" s="62"/>
      <c r="J64" s="66"/>
      <c r="K64" s="66"/>
      <c r="L64" s="62"/>
      <c r="M64" s="122"/>
      <c r="N64" s="57"/>
      <c r="O64" s="57"/>
      <c r="P64" s="57"/>
    </row>
    <row r="65" spans="1:16" ht="25.5">
      <c r="A65" s="19" t="s">
        <v>209</v>
      </c>
      <c r="B65" s="19" t="s">
        <v>149</v>
      </c>
      <c r="C65" s="20">
        <v>19849</v>
      </c>
      <c r="D65" s="13">
        <v>19631</v>
      </c>
      <c r="E65" s="112"/>
      <c r="F65" s="66"/>
      <c r="G65" s="66"/>
      <c r="H65" s="66"/>
      <c r="I65" s="62"/>
      <c r="J65" s="66"/>
      <c r="K65" s="66"/>
      <c r="L65" s="62"/>
      <c r="M65" s="122"/>
      <c r="N65" s="57"/>
      <c r="O65" s="57"/>
      <c r="P65" s="57"/>
    </row>
    <row r="66" spans="1:16" ht="25.5">
      <c r="A66" s="19" t="s">
        <v>194</v>
      </c>
      <c r="B66" s="19" t="s">
        <v>149</v>
      </c>
      <c r="C66" s="20">
        <v>11903</v>
      </c>
      <c r="D66" s="13">
        <v>10325</v>
      </c>
      <c r="E66" s="112"/>
      <c r="F66" s="66"/>
      <c r="G66" s="66"/>
      <c r="H66" s="66"/>
      <c r="I66" s="62"/>
      <c r="J66" s="66"/>
      <c r="K66" s="66"/>
      <c r="L66" s="62"/>
      <c r="M66" s="122"/>
      <c r="N66" s="57"/>
      <c r="O66" s="57"/>
      <c r="P66" s="57"/>
    </row>
    <row r="67" spans="1:16" ht="25.5">
      <c r="A67" s="19" t="s">
        <v>192</v>
      </c>
      <c r="B67" s="19" t="s">
        <v>149</v>
      </c>
      <c r="C67" s="20">
        <v>9442</v>
      </c>
      <c r="D67" s="13">
        <v>8187</v>
      </c>
      <c r="E67" s="112"/>
      <c r="F67" s="66"/>
      <c r="G67" s="66"/>
      <c r="H67" s="66"/>
      <c r="I67" s="62"/>
      <c r="J67" s="66"/>
      <c r="K67" s="66"/>
      <c r="L67" s="62"/>
      <c r="M67" s="122"/>
      <c r="N67" s="57"/>
      <c r="O67" s="57"/>
      <c r="P67" s="57"/>
    </row>
    <row r="68" spans="1:16" ht="25.5">
      <c r="A68" s="19" t="s">
        <v>172</v>
      </c>
      <c r="B68" s="19" t="s">
        <v>149</v>
      </c>
      <c r="C68" s="20">
        <v>8</v>
      </c>
      <c r="D68" s="13">
        <v>7391</v>
      </c>
      <c r="E68" s="112"/>
      <c r="F68" s="66"/>
      <c r="G68" s="66"/>
      <c r="H68" s="66"/>
      <c r="I68" s="62"/>
      <c r="J68" s="66"/>
      <c r="K68" s="66"/>
      <c r="L68" s="62"/>
      <c r="M68" s="122"/>
      <c r="N68" s="57"/>
      <c r="O68" s="57"/>
      <c r="P68" s="57"/>
    </row>
    <row r="69" spans="1:16" ht="25.5">
      <c r="A69" s="19" t="s">
        <v>46</v>
      </c>
      <c r="B69" s="19" t="s">
        <v>149</v>
      </c>
      <c r="C69" s="20">
        <v>3634</v>
      </c>
      <c r="D69" s="13">
        <v>5292</v>
      </c>
      <c r="E69" s="112"/>
      <c r="F69" s="66"/>
      <c r="G69" s="66"/>
      <c r="H69" s="66"/>
      <c r="I69" s="62"/>
      <c r="J69" s="66"/>
      <c r="K69" s="66"/>
      <c r="L69" s="62"/>
      <c r="M69" s="122"/>
      <c r="N69" s="57"/>
      <c r="O69" s="57"/>
      <c r="P69" s="57"/>
    </row>
    <row r="70" spans="1:16" ht="25.5">
      <c r="A70" s="19" t="s">
        <v>160</v>
      </c>
      <c r="B70" s="19" t="s">
        <v>149</v>
      </c>
      <c r="C70" s="20">
        <v>3473</v>
      </c>
      <c r="D70" s="13">
        <v>4500</v>
      </c>
      <c r="E70" s="112"/>
      <c r="F70" s="66"/>
      <c r="G70" s="66"/>
      <c r="H70" s="66"/>
      <c r="I70" s="62"/>
      <c r="J70" s="66"/>
      <c r="K70" s="66"/>
      <c r="L70" s="62"/>
      <c r="M70" s="122"/>
      <c r="N70" s="57"/>
      <c r="O70" s="57"/>
      <c r="P70" s="57"/>
    </row>
    <row r="71" spans="1:16" ht="25.5">
      <c r="A71" s="19" t="s">
        <v>177</v>
      </c>
      <c r="B71" s="19" t="s">
        <v>149</v>
      </c>
      <c r="C71" s="20">
        <v>1900</v>
      </c>
      <c r="D71" s="13">
        <v>1900</v>
      </c>
      <c r="E71" s="112"/>
      <c r="F71" s="66"/>
      <c r="G71" s="66"/>
      <c r="H71" s="66"/>
      <c r="I71" s="62"/>
      <c r="J71" s="66"/>
      <c r="K71" s="66"/>
      <c r="L71" s="62"/>
      <c r="M71" s="122"/>
      <c r="N71" s="57"/>
      <c r="O71" s="57"/>
      <c r="P71" s="57"/>
    </row>
    <row r="72" spans="1:16" ht="25.5">
      <c r="A72" s="19" t="s">
        <v>210</v>
      </c>
      <c r="B72" s="19" t="s">
        <v>149</v>
      </c>
      <c r="C72" s="20">
        <v>1800</v>
      </c>
      <c r="D72" s="13">
        <v>1800</v>
      </c>
      <c r="E72" s="112"/>
      <c r="F72" s="66"/>
      <c r="G72" s="66"/>
      <c r="H72" s="66"/>
      <c r="I72" s="62"/>
      <c r="J72" s="66"/>
      <c r="K72" s="66"/>
      <c r="L72" s="62"/>
      <c r="M72" s="122"/>
      <c r="N72" s="57"/>
      <c r="O72" s="57"/>
      <c r="P72" s="57"/>
    </row>
    <row r="73" spans="1:16" ht="25.5">
      <c r="A73" s="19" t="s">
        <v>176</v>
      </c>
      <c r="B73" s="19" t="s">
        <v>149</v>
      </c>
      <c r="C73" s="20">
        <v>833</v>
      </c>
      <c r="D73" s="13">
        <v>1065</v>
      </c>
      <c r="E73" s="112"/>
      <c r="F73" s="66"/>
      <c r="G73" s="66"/>
      <c r="H73" s="66"/>
      <c r="I73" s="62"/>
      <c r="J73" s="66"/>
      <c r="K73" s="66"/>
      <c r="L73" s="62"/>
      <c r="M73" s="122"/>
      <c r="N73" s="57"/>
      <c r="O73" s="57"/>
      <c r="P73" s="57"/>
    </row>
    <row r="74" spans="1:16" ht="25.5">
      <c r="A74" s="19" t="s">
        <v>208</v>
      </c>
      <c r="B74" s="19" t="s">
        <v>149</v>
      </c>
      <c r="C74" s="20">
        <v>276</v>
      </c>
      <c r="D74" s="13">
        <v>287</v>
      </c>
      <c r="E74" s="112"/>
      <c r="F74" s="66"/>
      <c r="G74" s="66"/>
      <c r="H74" s="66"/>
      <c r="I74" s="62"/>
      <c r="J74" s="66"/>
      <c r="K74" s="66"/>
      <c r="L74" s="62"/>
      <c r="M74" s="122"/>
      <c r="N74" s="57"/>
      <c r="O74" s="57"/>
      <c r="P74" s="57"/>
    </row>
    <row r="75" spans="1:16" ht="25.5">
      <c r="A75" s="19" t="s">
        <v>162</v>
      </c>
      <c r="B75" s="19" t="s">
        <v>149</v>
      </c>
      <c r="C75" s="20">
        <v>988</v>
      </c>
      <c r="D75" s="13">
        <v>260</v>
      </c>
      <c r="E75" s="112"/>
      <c r="F75" s="66"/>
      <c r="G75" s="66"/>
      <c r="H75" s="66"/>
      <c r="I75" s="62"/>
      <c r="J75" s="66"/>
      <c r="K75" s="66"/>
      <c r="L75" s="62"/>
      <c r="M75" s="122"/>
      <c r="N75" s="57"/>
      <c r="O75" s="57"/>
      <c r="P75" s="57"/>
    </row>
    <row r="76" spans="1:16" ht="25.5">
      <c r="A76" s="19" t="s">
        <v>48</v>
      </c>
      <c r="B76" s="19" t="s">
        <v>149</v>
      </c>
      <c r="C76" s="20">
        <v>121</v>
      </c>
      <c r="D76" s="13">
        <v>124</v>
      </c>
      <c r="E76" s="112"/>
      <c r="F76" s="66"/>
      <c r="G76" s="66"/>
      <c r="H76" s="66"/>
      <c r="I76" s="62"/>
      <c r="J76" s="66"/>
      <c r="K76" s="66"/>
      <c r="L76" s="62"/>
      <c r="M76" s="122"/>
      <c r="N76" s="57"/>
      <c r="O76" s="57"/>
      <c r="P76" s="57"/>
    </row>
    <row r="77" spans="1:16" ht="25.5">
      <c r="A77" s="19" t="s">
        <v>165</v>
      </c>
      <c r="B77" s="19" t="s">
        <v>149</v>
      </c>
      <c r="C77" s="20">
        <v>24</v>
      </c>
      <c r="D77" s="13">
        <v>27</v>
      </c>
      <c r="E77" s="112"/>
      <c r="F77" s="66"/>
      <c r="G77" s="66"/>
      <c r="H77" s="66"/>
      <c r="I77" s="62"/>
      <c r="J77" s="66"/>
      <c r="K77" s="66"/>
      <c r="L77" s="62"/>
      <c r="M77" s="122"/>
      <c r="N77" s="57"/>
      <c r="O77" s="57"/>
      <c r="P77" s="57"/>
    </row>
    <row r="78" spans="1:16" ht="25.5">
      <c r="A78" s="19" t="s">
        <v>200</v>
      </c>
      <c r="B78" s="19" t="s">
        <v>149</v>
      </c>
      <c r="C78" s="20">
        <v>16767</v>
      </c>
      <c r="D78" s="13">
        <v>0</v>
      </c>
      <c r="E78" s="112"/>
      <c r="F78" s="66"/>
      <c r="G78" s="66"/>
      <c r="H78" s="66"/>
      <c r="I78" s="62"/>
      <c r="J78" s="66"/>
      <c r="K78" s="66"/>
      <c r="L78" s="62"/>
      <c r="M78" s="122"/>
      <c r="N78" s="57"/>
      <c r="O78" s="57"/>
      <c r="P78" s="57"/>
    </row>
    <row r="79" spans="1:16" ht="25.5">
      <c r="A79" s="19" t="s">
        <v>175</v>
      </c>
      <c r="B79" s="19" t="s">
        <v>149</v>
      </c>
      <c r="C79" s="20">
        <v>0</v>
      </c>
      <c r="D79" s="13">
        <v>0</v>
      </c>
      <c r="E79" s="112"/>
      <c r="F79" s="66"/>
      <c r="G79" s="66"/>
      <c r="H79" s="66"/>
      <c r="I79" s="62"/>
      <c r="J79" s="66"/>
      <c r="K79" s="66"/>
      <c r="L79" s="62"/>
      <c r="M79" s="122"/>
      <c r="N79" s="57"/>
      <c r="O79" s="57"/>
      <c r="P79" s="57"/>
    </row>
    <row r="80" spans="1:16" ht="25.5">
      <c r="A80" s="19" t="s">
        <v>148</v>
      </c>
      <c r="B80" s="19" t="s">
        <v>149</v>
      </c>
      <c r="C80" s="20"/>
      <c r="D80" s="13"/>
      <c r="E80" s="112"/>
      <c r="F80" s="66"/>
      <c r="G80" s="66"/>
      <c r="H80" s="66"/>
      <c r="I80" s="62"/>
      <c r="J80" s="66"/>
      <c r="K80" s="66"/>
      <c r="L80" s="62"/>
      <c r="M80" s="122"/>
      <c r="N80" s="57"/>
      <c r="O80" s="57"/>
      <c r="P80" s="57"/>
    </row>
    <row r="81" spans="1:16" ht="12.75">
      <c r="A81" s="247"/>
      <c r="B81" s="247"/>
      <c r="C81" s="248"/>
      <c r="D81" s="249"/>
      <c r="E81" s="112"/>
      <c r="F81" s="66"/>
      <c r="G81" s="66"/>
      <c r="H81" s="66"/>
      <c r="I81" s="62"/>
      <c r="J81" s="66"/>
      <c r="K81" s="66"/>
      <c r="L81" s="62"/>
      <c r="M81" s="122"/>
      <c r="N81" s="57"/>
      <c r="O81" s="57"/>
      <c r="P81" s="57"/>
    </row>
    <row r="82" spans="1:12" ht="12.75">
      <c r="A82" s="9"/>
      <c r="B82" s="9"/>
      <c r="C82" s="21"/>
      <c r="D82" s="188"/>
      <c r="E82" s="94"/>
      <c r="F82" s="9"/>
      <c r="G82" s="9"/>
      <c r="H82" s="9"/>
      <c r="I82" s="94"/>
      <c r="J82" s="9"/>
      <c r="K82" s="9"/>
      <c r="L82" s="94"/>
    </row>
    <row r="83" spans="1:5" ht="15.75">
      <c r="A83" s="220" t="s">
        <v>35</v>
      </c>
      <c r="B83" s="224" t="s">
        <v>45</v>
      </c>
      <c r="C83" s="221"/>
      <c r="D83" s="221"/>
      <c r="E83" s="221"/>
    </row>
    <row r="84" ht="12.75">
      <c r="B84" s="9" t="s">
        <v>240</v>
      </c>
    </row>
    <row r="85" ht="12.75">
      <c r="A85" s="5"/>
    </row>
    <row r="86" ht="12.75">
      <c r="A86" s="5"/>
    </row>
    <row r="87" ht="12.75">
      <c r="A87" s="5"/>
    </row>
    <row r="88" ht="12.75">
      <c r="A88" s="5"/>
    </row>
    <row r="89" ht="12.75">
      <c r="A89" s="5"/>
    </row>
    <row r="90" ht="12.75">
      <c r="A90" s="5"/>
    </row>
    <row r="91" ht="12.75">
      <c r="A91" s="5"/>
    </row>
    <row r="95" ht="14.25">
      <c r="A95" s="172"/>
    </row>
  </sheetData>
  <mergeCells count="4">
    <mergeCell ref="M2:P2"/>
    <mergeCell ref="F3:H3"/>
    <mergeCell ref="A3:D3"/>
    <mergeCell ref="J3:K3"/>
  </mergeCells>
  <hyperlinks>
    <hyperlink ref="B83" r:id="rId1" display="http://faostat.fao.org/site/616/default.aspx#ancor"/>
  </hyperlinks>
  <printOptions/>
  <pageMargins left="0.787401575" right="0.787401575" top="1" bottom="1" header="0" footer="0"/>
  <pageSetup horizontalDpi="600" verticalDpi="600" orientation="portrait" paperSize="9" r:id="rId4"/>
  <ignoredErrors>
    <ignoredError sqref="H7 O7:P7 O9 P6 P11 P23" formula="1"/>
  </ignoredErrors>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topLeftCell="A1"/>
  </sheetViews>
  <sheetFormatPr defaultColWidth="11.00390625" defaultRowHeight="12.75"/>
  <cols>
    <col min="1" max="1" width="17.625" style="0" customWidth="1"/>
    <col min="2" max="2" width="21.00390625" style="0" customWidth="1"/>
    <col min="3" max="3" width="9.625" style="0" customWidth="1"/>
    <col min="4" max="5" width="7.75390625" style="0" customWidth="1"/>
    <col min="6" max="6" width="7.375" style="0" customWidth="1"/>
    <col min="7" max="7" width="7.00390625" style="0" customWidth="1"/>
    <col min="8" max="8" width="8.875" style="0" customWidth="1"/>
  </cols>
  <sheetData>
    <row r="1" spans="1:8" ht="12.75">
      <c r="A1" s="3" t="s">
        <v>145</v>
      </c>
      <c r="B1" s="3" t="s">
        <v>146</v>
      </c>
      <c r="C1" s="3" t="s">
        <v>147</v>
      </c>
      <c r="D1" s="3">
        <v>2003</v>
      </c>
      <c r="E1" s="3">
        <v>2004</v>
      </c>
      <c r="F1" s="3">
        <v>2005</v>
      </c>
      <c r="G1" s="3">
        <v>2006</v>
      </c>
      <c r="H1" s="3">
        <v>2007</v>
      </c>
    </row>
    <row r="2" spans="1:8" ht="25.5">
      <c r="A2" s="2" t="s">
        <v>91</v>
      </c>
      <c r="B2" s="2" t="s">
        <v>57</v>
      </c>
      <c r="C2" s="2" t="s">
        <v>149</v>
      </c>
      <c r="D2" s="2">
        <v>2589267</v>
      </c>
      <c r="E2" s="2">
        <v>4882928</v>
      </c>
      <c r="F2" s="2">
        <v>4020514</v>
      </c>
      <c r="G2" s="2">
        <v>5098530</v>
      </c>
      <c r="H2" s="2">
        <v>5000660</v>
      </c>
    </row>
    <row r="3" spans="1:8" ht="25.5">
      <c r="A3" s="2" t="s">
        <v>91</v>
      </c>
      <c r="B3" s="2" t="s">
        <v>179</v>
      </c>
      <c r="C3" s="2" t="s">
        <v>149</v>
      </c>
      <c r="D3" s="2">
        <v>1875574</v>
      </c>
      <c r="E3" s="2">
        <v>4237741</v>
      </c>
      <c r="F3" s="2">
        <v>3032436</v>
      </c>
      <c r="G3" s="2">
        <v>4154695</v>
      </c>
      <c r="H3" s="2">
        <v>4064368</v>
      </c>
    </row>
    <row r="4" spans="1:8" ht="25.5">
      <c r="A4" s="2" t="s">
        <v>91</v>
      </c>
      <c r="B4" s="2" t="s">
        <v>58</v>
      </c>
      <c r="C4" s="2" t="s">
        <v>149</v>
      </c>
      <c r="D4" s="2">
        <v>2328508</v>
      </c>
      <c r="E4" s="2">
        <v>2436977</v>
      </c>
      <c r="F4" s="2">
        <v>2562738</v>
      </c>
      <c r="G4" s="2">
        <v>2789563</v>
      </c>
      <c r="H4" s="2">
        <v>2713944</v>
      </c>
    </row>
    <row r="5" spans="1:8" ht="25.5">
      <c r="A5" s="2" t="s">
        <v>91</v>
      </c>
      <c r="B5" s="2" t="s">
        <v>219</v>
      </c>
      <c r="C5" s="2" t="s">
        <v>149</v>
      </c>
      <c r="D5" s="2">
        <v>1555762</v>
      </c>
      <c r="E5" s="2">
        <v>1574075</v>
      </c>
      <c r="F5" s="2">
        <v>1651020</v>
      </c>
      <c r="G5" s="2">
        <v>1647044</v>
      </c>
      <c r="H5" s="2">
        <v>1688302</v>
      </c>
    </row>
    <row r="6" spans="1:8" ht="25.5">
      <c r="A6" s="2" t="s">
        <v>91</v>
      </c>
      <c r="B6" s="2" t="s">
        <v>69</v>
      </c>
      <c r="C6" s="2" t="s">
        <v>149</v>
      </c>
      <c r="D6" s="2">
        <v>1555762</v>
      </c>
      <c r="E6" s="2">
        <v>1574075</v>
      </c>
      <c r="F6" s="2">
        <v>1651020</v>
      </c>
      <c r="G6" s="2">
        <v>1647044</v>
      </c>
      <c r="H6" s="2">
        <v>1688302</v>
      </c>
    </row>
    <row r="7" spans="1:8" ht="25.5">
      <c r="A7" s="2" t="s">
        <v>92</v>
      </c>
      <c r="B7" s="2" t="s">
        <v>72</v>
      </c>
      <c r="C7" s="2" t="s">
        <v>149</v>
      </c>
      <c r="D7" s="2">
        <v>847286</v>
      </c>
      <c r="E7" s="2">
        <v>869463</v>
      </c>
      <c r="F7" s="2">
        <v>874296</v>
      </c>
      <c r="G7" s="2">
        <v>926100</v>
      </c>
      <c r="H7" s="2">
        <v>967649</v>
      </c>
    </row>
    <row r="8" spans="1:8" ht="25.5">
      <c r="A8" s="2" t="s">
        <v>91</v>
      </c>
      <c r="B8" s="2" t="s">
        <v>53</v>
      </c>
      <c r="C8" s="2" t="s">
        <v>149</v>
      </c>
      <c r="D8" s="2">
        <v>396390</v>
      </c>
      <c r="E8" s="2">
        <v>333610</v>
      </c>
      <c r="F8" s="2">
        <v>711195</v>
      </c>
      <c r="G8" s="2">
        <v>667759</v>
      </c>
      <c r="H8" s="2">
        <v>663424</v>
      </c>
    </row>
    <row r="9" spans="1:8" ht="25.5">
      <c r="A9" s="2" t="s">
        <v>91</v>
      </c>
      <c r="B9" s="2" t="s">
        <v>189</v>
      </c>
      <c r="C9" s="2" t="s">
        <v>149</v>
      </c>
      <c r="D9" s="2">
        <v>565726</v>
      </c>
      <c r="E9" s="2">
        <v>597456</v>
      </c>
      <c r="F9" s="2">
        <v>611672</v>
      </c>
      <c r="G9" s="2">
        <v>623499</v>
      </c>
      <c r="H9" s="2">
        <v>644692</v>
      </c>
    </row>
    <row r="10" spans="1:8" ht="25.5">
      <c r="A10" s="2" t="s">
        <v>91</v>
      </c>
      <c r="B10" s="2" t="s">
        <v>52</v>
      </c>
      <c r="C10" s="2" t="s">
        <v>149</v>
      </c>
      <c r="D10" s="2">
        <v>576463</v>
      </c>
      <c r="E10" s="2">
        <v>584562</v>
      </c>
      <c r="F10" s="2">
        <v>587141</v>
      </c>
      <c r="G10" s="2">
        <v>608608</v>
      </c>
      <c r="H10" s="2">
        <v>627650</v>
      </c>
    </row>
    <row r="11" spans="1:8" ht="25.5">
      <c r="A11" s="2" t="s">
        <v>90</v>
      </c>
      <c r="B11" s="2" t="s">
        <v>169</v>
      </c>
      <c r="C11" s="2" t="s">
        <v>149</v>
      </c>
      <c r="D11" s="2">
        <v>497945</v>
      </c>
      <c r="E11" s="2">
        <v>524107</v>
      </c>
      <c r="F11" s="2">
        <v>543607</v>
      </c>
      <c r="G11" s="2">
        <v>602582</v>
      </c>
      <c r="H11" s="2">
        <v>602398</v>
      </c>
    </row>
    <row r="12" spans="1:8" ht="25.5">
      <c r="A12" s="2" t="s">
        <v>91</v>
      </c>
      <c r="B12" s="2" t="s">
        <v>196</v>
      </c>
      <c r="C12" s="2" t="s">
        <v>149</v>
      </c>
      <c r="D12" s="2">
        <v>343039</v>
      </c>
      <c r="E12" s="2">
        <v>362827</v>
      </c>
      <c r="F12" s="2">
        <v>476233</v>
      </c>
      <c r="G12" s="2">
        <v>529382</v>
      </c>
      <c r="H12" s="2">
        <v>551819</v>
      </c>
    </row>
    <row r="13" spans="1:8" ht="25.5">
      <c r="A13" s="2" t="s">
        <v>90</v>
      </c>
      <c r="B13" s="2" t="s">
        <v>151</v>
      </c>
      <c r="C13" s="2" t="s">
        <v>149</v>
      </c>
      <c r="D13" s="2">
        <v>494044</v>
      </c>
      <c r="E13" s="2">
        <v>494567</v>
      </c>
      <c r="F13" s="2">
        <v>486588</v>
      </c>
      <c r="G13" s="2">
        <v>565755</v>
      </c>
      <c r="H13" s="2">
        <v>449406</v>
      </c>
    </row>
    <row r="14" spans="1:8" ht="25.5">
      <c r="A14" s="2" t="s">
        <v>91</v>
      </c>
      <c r="B14" s="2" t="s">
        <v>62</v>
      </c>
      <c r="C14" s="2" t="s">
        <v>149</v>
      </c>
      <c r="D14" s="2">
        <v>240261</v>
      </c>
      <c r="E14" s="2">
        <v>227061</v>
      </c>
      <c r="F14" s="2">
        <v>247318</v>
      </c>
      <c r="G14" s="2">
        <v>232872</v>
      </c>
      <c r="H14" s="2">
        <v>258533</v>
      </c>
    </row>
    <row r="15" spans="1:8" ht="25.5">
      <c r="A15" s="2" t="s">
        <v>91</v>
      </c>
      <c r="B15" s="2" t="s">
        <v>51</v>
      </c>
      <c r="C15" s="2" t="s">
        <v>149</v>
      </c>
      <c r="D15" s="2">
        <v>187272</v>
      </c>
      <c r="E15" s="2">
        <v>201460</v>
      </c>
      <c r="F15" s="2">
        <v>201254</v>
      </c>
      <c r="G15" s="2">
        <v>219742</v>
      </c>
      <c r="H15" s="2">
        <v>238494</v>
      </c>
    </row>
    <row r="16" spans="1:8" ht="25.5">
      <c r="A16" s="2" t="s">
        <v>91</v>
      </c>
      <c r="B16" s="2" t="s">
        <v>198</v>
      </c>
      <c r="C16" s="2" t="s">
        <v>149</v>
      </c>
      <c r="D16" s="2">
        <v>202579</v>
      </c>
      <c r="E16" s="2">
        <v>190192</v>
      </c>
      <c r="F16" s="2">
        <v>205841</v>
      </c>
      <c r="G16" s="2">
        <v>192648</v>
      </c>
      <c r="H16" s="2">
        <v>218966</v>
      </c>
    </row>
    <row r="17" spans="1:8" ht="25.5">
      <c r="A17" s="2" t="s">
        <v>91</v>
      </c>
      <c r="B17" s="2" t="s">
        <v>178</v>
      </c>
      <c r="C17" s="2" t="s">
        <v>149</v>
      </c>
      <c r="D17" s="2">
        <v>178738</v>
      </c>
      <c r="E17" s="2">
        <v>196798</v>
      </c>
      <c r="F17" s="2">
        <v>184921</v>
      </c>
      <c r="G17" s="2">
        <v>191374</v>
      </c>
      <c r="H17" s="2">
        <v>198841</v>
      </c>
    </row>
    <row r="18" spans="1:8" ht="25.5">
      <c r="A18" s="2" t="s">
        <v>91</v>
      </c>
      <c r="B18" s="2" t="s">
        <v>211</v>
      </c>
      <c r="C18" s="2" t="s">
        <v>149</v>
      </c>
      <c r="D18" s="2">
        <v>219181</v>
      </c>
      <c r="E18" s="2">
        <v>223457</v>
      </c>
      <c r="F18" s="2">
        <v>190575</v>
      </c>
      <c r="G18" s="2">
        <v>182684</v>
      </c>
      <c r="H18" s="2">
        <v>185962</v>
      </c>
    </row>
    <row r="19" spans="1:8" ht="25.5">
      <c r="A19" s="2" t="s">
        <v>91</v>
      </c>
      <c r="B19" s="2" t="s">
        <v>59</v>
      </c>
      <c r="C19" s="2" t="s">
        <v>149</v>
      </c>
      <c r="D19" s="2">
        <v>160738</v>
      </c>
      <c r="E19" s="2">
        <v>147428</v>
      </c>
      <c r="F19" s="2">
        <v>146956</v>
      </c>
      <c r="G19" s="2">
        <v>151151</v>
      </c>
      <c r="H19" s="2">
        <v>150290</v>
      </c>
    </row>
    <row r="20" spans="1:8" ht="25.5">
      <c r="A20" s="2" t="s">
        <v>91</v>
      </c>
      <c r="B20" s="2" t="s">
        <v>197</v>
      </c>
      <c r="C20" s="2" t="s">
        <v>149</v>
      </c>
      <c r="D20" s="2">
        <v>132233</v>
      </c>
      <c r="E20" s="2">
        <v>134592</v>
      </c>
      <c r="F20" s="2">
        <v>133249</v>
      </c>
      <c r="G20" s="2">
        <v>142585</v>
      </c>
      <c r="H20" s="2">
        <v>143386</v>
      </c>
    </row>
    <row r="21" spans="1:8" ht="25.5">
      <c r="A21" s="2" t="s">
        <v>91</v>
      </c>
      <c r="B21" s="2" t="s">
        <v>213</v>
      </c>
      <c r="C21" s="2" t="s">
        <v>149</v>
      </c>
      <c r="D21" s="2">
        <v>129056</v>
      </c>
      <c r="E21" s="2">
        <v>110171</v>
      </c>
      <c r="F21" s="2">
        <v>117037</v>
      </c>
      <c r="G21" s="2">
        <v>115402</v>
      </c>
      <c r="H21" s="2">
        <v>110978</v>
      </c>
    </row>
    <row r="22" spans="1:8" ht="25.5">
      <c r="A22" s="2" t="s">
        <v>91</v>
      </c>
      <c r="B22" s="2" t="s">
        <v>60</v>
      </c>
      <c r="C22" s="2" t="s">
        <v>149</v>
      </c>
      <c r="D22" s="2">
        <v>114788</v>
      </c>
      <c r="E22" s="2">
        <v>101432</v>
      </c>
      <c r="F22" s="2">
        <v>98793</v>
      </c>
      <c r="G22" s="2">
        <v>119067</v>
      </c>
      <c r="H22" s="2">
        <v>103628</v>
      </c>
    </row>
    <row r="23" spans="1:8" ht="25.5">
      <c r="A23" s="2" t="s">
        <v>91</v>
      </c>
      <c r="B23" s="2" t="s">
        <v>188</v>
      </c>
      <c r="C23" s="2" t="s">
        <v>149</v>
      </c>
      <c r="D23" s="2">
        <v>83551</v>
      </c>
      <c r="E23" s="2">
        <v>83441</v>
      </c>
      <c r="F23" s="2">
        <v>85901</v>
      </c>
      <c r="G23" s="2">
        <v>97750</v>
      </c>
      <c r="H23" s="2">
        <v>101505</v>
      </c>
    </row>
    <row r="24" spans="1:8" ht="25.5">
      <c r="A24" s="2" t="s">
        <v>90</v>
      </c>
      <c r="B24" s="2" t="s">
        <v>153</v>
      </c>
      <c r="C24" s="2" t="s">
        <v>149</v>
      </c>
      <c r="D24" s="2">
        <v>100177</v>
      </c>
      <c r="E24" s="2">
        <v>90074</v>
      </c>
      <c r="F24" s="2">
        <v>87406</v>
      </c>
      <c r="G24" s="2">
        <v>104256</v>
      </c>
      <c r="H24" s="2">
        <v>90890</v>
      </c>
    </row>
    <row r="25" spans="1:8" ht="25.5">
      <c r="A25" s="2" t="s">
        <v>91</v>
      </c>
      <c r="B25" s="2" t="s">
        <v>203</v>
      </c>
      <c r="C25" s="2" t="s">
        <v>149</v>
      </c>
      <c r="D25" s="2">
        <v>93435</v>
      </c>
      <c r="E25" s="2">
        <v>83958</v>
      </c>
      <c r="F25" s="2">
        <v>88921</v>
      </c>
      <c r="G25" s="2">
        <v>92123</v>
      </c>
      <c r="H25" s="2">
        <v>88004</v>
      </c>
    </row>
    <row r="26" spans="1:8" ht="25.5">
      <c r="A26" s="2" t="s">
        <v>90</v>
      </c>
      <c r="B26" s="2" t="s">
        <v>150</v>
      </c>
      <c r="C26" s="2" t="s">
        <v>149</v>
      </c>
      <c r="D26" s="2">
        <v>71278</v>
      </c>
      <c r="E26" s="2">
        <v>76586</v>
      </c>
      <c r="F26" s="2">
        <v>81961</v>
      </c>
      <c r="G26" s="2">
        <v>84927</v>
      </c>
      <c r="H26" s="2">
        <v>76779</v>
      </c>
    </row>
    <row r="27" spans="1:8" ht="25.5">
      <c r="A27" s="2" t="s">
        <v>91</v>
      </c>
      <c r="B27" s="2" t="s">
        <v>202</v>
      </c>
      <c r="C27" s="2" t="s">
        <v>149</v>
      </c>
      <c r="D27" s="2">
        <v>62321</v>
      </c>
      <c r="E27" s="2">
        <v>56000</v>
      </c>
      <c r="F27" s="2">
        <v>59310</v>
      </c>
      <c r="G27" s="2">
        <v>61446</v>
      </c>
      <c r="H27" s="2">
        <v>58698</v>
      </c>
    </row>
    <row r="28" spans="1:8" ht="25.5">
      <c r="A28" s="2" t="s">
        <v>91</v>
      </c>
      <c r="B28" s="2" t="s">
        <v>204</v>
      </c>
      <c r="C28" s="2" t="s">
        <v>149</v>
      </c>
      <c r="D28" s="2">
        <v>50720</v>
      </c>
      <c r="E28" s="2">
        <v>47979</v>
      </c>
      <c r="F28" s="2">
        <v>52433</v>
      </c>
      <c r="G28" s="2">
        <v>49407</v>
      </c>
      <c r="H28" s="2">
        <v>54549</v>
      </c>
    </row>
    <row r="29" spans="1:8" ht="25.5">
      <c r="A29" s="2" t="s">
        <v>90</v>
      </c>
      <c r="B29" s="2" t="s">
        <v>170</v>
      </c>
      <c r="C29" s="2" t="s">
        <v>149</v>
      </c>
      <c r="D29" s="2">
        <v>40113</v>
      </c>
      <c r="E29" s="2">
        <v>44694</v>
      </c>
      <c r="F29" s="2">
        <v>39039</v>
      </c>
      <c r="G29" s="2">
        <v>42245</v>
      </c>
      <c r="H29" s="2">
        <v>35801</v>
      </c>
    </row>
    <row r="30" spans="1:8" ht="25.5">
      <c r="A30" s="2" t="s">
        <v>90</v>
      </c>
      <c r="B30" s="2" t="s">
        <v>152</v>
      </c>
      <c r="C30" s="2" t="s">
        <v>149</v>
      </c>
      <c r="D30" s="2">
        <v>33174</v>
      </c>
      <c r="E30" s="2">
        <v>29183</v>
      </c>
      <c r="F30" s="2">
        <v>24133</v>
      </c>
      <c r="G30" s="2">
        <v>28411</v>
      </c>
      <c r="H30" s="2">
        <v>25180</v>
      </c>
    </row>
    <row r="31" spans="1:8" ht="25.5">
      <c r="A31" s="2" t="s">
        <v>91</v>
      </c>
      <c r="B31" s="2" t="s">
        <v>67</v>
      </c>
      <c r="C31" s="2" t="s">
        <v>149</v>
      </c>
      <c r="D31" s="2">
        <v>21178</v>
      </c>
      <c r="E31" s="2">
        <v>21215</v>
      </c>
      <c r="F31" s="2">
        <v>20104</v>
      </c>
      <c r="G31" s="2">
        <v>19276</v>
      </c>
      <c r="H31" s="2">
        <v>19432</v>
      </c>
    </row>
    <row r="32" spans="1:8" ht="25.5">
      <c r="A32" s="2" t="s">
        <v>90</v>
      </c>
      <c r="B32" s="2" t="s">
        <v>157</v>
      </c>
      <c r="C32" s="2" t="s">
        <v>149</v>
      </c>
      <c r="D32" s="2">
        <v>17422</v>
      </c>
      <c r="E32" s="2">
        <v>16272</v>
      </c>
      <c r="F32" s="2">
        <v>19541</v>
      </c>
      <c r="G32" s="2">
        <v>18171</v>
      </c>
      <c r="H32" s="2">
        <v>18969</v>
      </c>
    </row>
    <row r="33" spans="1:8" ht="25.5">
      <c r="A33" s="2" t="s">
        <v>90</v>
      </c>
      <c r="B33" s="2" t="s">
        <v>164</v>
      </c>
      <c r="C33" s="2" t="s">
        <v>149</v>
      </c>
      <c r="D33" s="2">
        <v>18464</v>
      </c>
      <c r="E33" s="2">
        <v>18783</v>
      </c>
      <c r="F33" s="2">
        <v>17900</v>
      </c>
      <c r="G33" s="2">
        <v>17302</v>
      </c>
      <c r="H33" s="2">
        <v>17884</v>
      </c>
    </row>
    <row r="34" spans="1:8" ht="25.5">
      <c r="A34" s="2" t="s">
        <v>90</v>
      </c>
      <c r="B34" s="2" t="s">
        <v>173</v>
      </c>
      <c r="C34" s="2" t="s">
        <v>149</v>
      </c>
      <c r="D34" s="2">
        <v>16375</v>
      </c>
      <c r="E34" s="2">
        <v>17810</v>
      </c>
      <c r="F34" s="2">
        <v>15731</v>
      </c>
      <c r="G34" s="2">
        <v>14594</v>
      </c>
      <c r="H34" s="2">
        <v>17162</v>
      </c>
    </row>
    <row r="35" spans="1:8" ht="25.5">
      <c r="A35" s="2" t="s">
        <v>91</v>
      </c>
      <c r="B35" s="2" t="s">
        <v>205</v>
      </c>
      <c r="C35" s="2" t="s">
        <v>149</v>
      </c>
      <c r="D35" s="2">
        <v>14560</v>
      </c>
      <c r="E35" s="2">
        <v>14781</v>
      </c>
      <c r="F35" s="2">
        <v>15513</v>
      </c>
      <c r="G35" s="2">
        <v>15782</v>
      </c>
      <c r="H35" s="2">
        <v>14175</v>
      </c>
    </row>
    <row r="36" spans="1:8" ht="25.5">
      <c r="A36" s="2" t="s">
        <v>91</v>
      </c>
      <c r="B36" s="2" t="s">
        <v>201</v>
      </c>
      <c r="C36" s="2" t="s">
        <v>149</v>
      </c>
      <c r="D36" s="2">
        <v>8081</v>
      </c>
      <c r="E36" s="2">
        <v>12542</v>
      </c>
      <c r="F36" s="2">
        <v>11819</v>
      </c>
      <c r="G36" s="2">
        <v>12324</v>
      </c>
      <c r="H36" s="2">
        <v>12304</v>
      </c>
    </row>
    <row r="37" spans="1:8" ht="25.5">
      <c r="A37" s="2" t="s">
        <v>90</v>
      </c>
      <c r="B37" s="2" t="s">
        <v>174</v>
      </c>
      <c r="C37" s="2" t="s">
        <v>149</v>
      </c>
      <c r="D37" s="2">
        <v>11463</v>
      </c>
      <c r="E37" s="2">
        <v>12467</v>
      </c>
      <c r="F37" s="2">
        <v>11012</v>
      </c>
      <c r="G37" s="2">
        <v>10216</v>
      </c>
      <c r="H37" s="2">
        <v>12013</v>
      </c>
    </row>
    <row r="38" spans="1:8" ht="25.5">
      <c r="A38" s="2" t="s">
        <v>91</v>
      </c>
      <c r="B38" s="2" t="s">
        <v>199</v>
      </c>
      <c r="C38" s="2" t="s">
        <v>149</v>
      </c>
      <c r="D38" s="2">
        <v>13412</v>
      </c>
      <c r="E38" s="2">
        <v>10412</v>
      </c>
      <c r="F38" s="2">
        <v>10458</v>
      </c>
      <c r="G38" s="2">
        <v>13813</v>
      </c>
      <c r="H38" s="2">
        <v>11656</v>
      </c>
    </row>
    <row r="39" spans="1:8" ht="25.5">
      <c r="A39" s="2" t="s">
        <v>90</v>
      </c>
      <c r="B39" s="2" t="s">
        <v>159</v>
      </c>
      <c r="C39" s="2" t="s">
        <v>149</v>
      </c>
      <c r="D39" s="2">
        <v>3807</v>
      </c>
      <c r="E39" s="2">
        <v>3807</v>
      </c>
      <c r="F39" s="2">
        <v>3813</v>
      </c>
      <c r="G39" s="2">
        <v>5467</v>
      </c>
      <c r="H39" s="2">
        <v>9084</v>
      </c>
    </row>
    <row r="40" spans="1:8" ht="25.5">
      <c r="A40" s="2" t="s">
        <v>91</v>
      </c>
      <c r="B40" s="2" t="s">
        <v>186</v>
      </c>
      <c r="C40" s="2" t="s">
        <v>149</v>
      </c>
      <c r="D40" s="2">
        <v>6822</v>
      </c>
      <c r="E40" s="2">
        <v>7820</v>
      </c>
      <c r="F40" s="2">
        <v>2085</v>
      </c>
      <c r="G40" s="2">
        <v>7878</v>
      </c>
      <c r="H40" s="2">
        <v>7966</v>
      </c>
    </row>
    <row r="41" spans="1:8" ht="25.5">
      <c r="A41" s="2" t="s">
        <v>90</v>
      </c>
      <c r="B41" s="2" t="s">
        <v>163</v>
      </c>
      <c r="C41" s="2" t="s">
        <v>149</v>
      </c>
      <c r="D41" s="2">
        <v>4934</v>
      </c>
      <c r="E41" s="2">
        <v>4172</v>
      </c>
      <c r="F41" s="2">
        <v>4917</v>
      </c>
      <c r="G41" s="2">
        <v>5231</v>
      </c>
      <c r="H41" s="2">
        <v>6987</v>
      </c>
    </row>
    <row r="42" spans="1:8" ht="25.5">
      <c r="A42" s="2" t="s">
        <v>91</v>
      </c>
      <c r="B42" s="2" t="s">
        <v>47</v>
      </c>
      <c r="C42" s="2" t="s">
        <v>149</v>
      </c>
      <c r="D42" s="2">
        <v>4563</v>
      </c>
      <c r="E42" s="2">
        <v>4624</v>
      </c>
      <c r="F42" s="2">
        <v>5235</v>
      </c>
      <c r="G42" s="2">
        <v>4965</v>
      </c>
      <c r="H42" s="2">
        <v>5142</v>
      </c>
    </row>
    <row r="43" spans="1:8" ht="25.5">
      <c r="A43" s="2" t="s">
        <v>91</v>
      </c>
      <c r="B43" s="2" t="s">
        <v>50</v>
      </c>
      <c r="C43" s="2" t="s">
        <v>149</v>
      </c>
      <c r="D43" s="2">
        <v>3374</v>
      </c>
      <c r="E43" s="2">
        <v>3314</v>
      </c>
      <c r="F43" s="2">
        <v>3138</v>
      </c>
      <c r="G43" s="2">
        <v>3277</v>
      </c>
      <c r="H43" s="2">
        <v>3531</v>
      </c>
    </row>
    <row r="44" spans="1:8" ht="25.5">
      <c r="A44" s="2" t="s">
        <v>91</v>
      </c>
      <c r="B44" s="2" t="s">
        <v>221</v>
      </c>
      <c r="C44" s="2" t="s">
        <v>149</v>
      </c>
      <c r="D44" s="2">
        <v>3818</v>
      </c>
      <c r="E44" s="2">
        <v>2915</v>
      </c>
      <c r="F44" s="2">
        <v>3015</v>
      </c>
      <c r="G44" s="2">
        <v>3176</v>
      </c>
      <c r="H44" s="2">
        <v>2699</v>
      </c>
    </row>
    <row r="45" spans="1:8" ht="25.5">
      <c r="A45" s="2" t="s">
        <v>91</v>
      </c>
      <c r="B45" s="2" t="s">
        <v>68</v>
      </c>
      <c r="C45" s="2" t="s">
        <v>149</v>
      </c>
      <c r="D45" s="2">
        <v>3818</v>
      </c>
      <c r="E45" s="2">
        <v>2915</v>
      </c>
      <c r="F45" s="2">
        <v>3015</v>
      </c>
      <c r="G45" s="2">
        <v>3176</v>
      </c>
      <c r="H45" s="2">
        <v>2699</v>
      </c>
    </row>
    <row r="46" spans="1:8" ht="25.5">
      <c r="A46" s="2" t="s">
        <v>91</v>
      </c>
      <c r="B46" s="2" t="s">
        <v>215</v>
      </c>
      <c r="C46" s="2" t="s">
        <v>149</v>
      </c>
      <c r="D46" s="2">
        <v>3617</v>
      </c>
      <c r="E46" s="2">
        <v>2688</v>
      </c>
      <c r="F46" s="2">
        <v>2786</v>
      </c>
      <c r="G46" s="2">
        <v>2946</v>
      </c>
      <c r="H46" s="2">
        <v>2473</v>
      </c>
    </row>
    <row r="47" spans="1:8" ht="25.5">
      <c r="A47" s="2" t="s">
        <v>91</v>
      </c>
      <c r="B47" s="2" t="s">
        <v>222</v>
      </c>
      <c r="C47" s="2" t="s">
        <v>149</v>
      </c>
      <c r="D47" s="2">
        <v>3328</v>
      </c>
      <c r="E47" s="2">
        <v>2473</v>
      </c>
      <c r="F47" s="2">
        <v>2563</v>
      </c>
      <c r="G47" s="2">
        <v>2710</v>
      </c>
      <c r="H47" s="2">
        <v>2275</v>
      </c>
    </row>
    <row r="48" spans="1:8" ht="25.5">
      <c r="A48" s="2" t="s">
        <v>91</v>
      </c>
      <c r="B48" s="2" t="s">
        <v>184</v>
      </c>
      <c r="C48" s="2" t="s">
        <v>149</v>
      </c>
      <c r="D48" s="2">
        <v>1620</v>
      </c>
      <c r="E48" s="2">
        <v>1958</v>
      </c>
      <c r="F48" s="2">
        <v>1854</v>
      </c>
      <c r="G48" s="2">
        <v>2380</v>
      </c>
      <c r="H48" s="2">
        <v>2210</v>
      </c>
    </row>
    <row r="49" spans="1:8" ht="25.5">
      <c r="A49" s="2" t="s">
        <v>90</v>
      </c>
      <c r="B49" s="2" t="s">
        <v>161</v>
      </c>
      <c r="C49" s="2" t="s">
        <v>149</v>
      </c>
      <c r="D49" s="2">
        <v>2714</v>
      </c>
      <c r="E49" s="2">
        <v>2432</v>
      </c>
      <c r="F49" s="2">
        <v>2204</v>
      </c>
      <c r="G49" s="2">
        <v>1974</v>
      </c>
      <c r="H49" s="2">
        <v>1548</v>
      </c>
    </row>
    <row r="50" spans="1:8" ht="25.5">
      <c r="A50" s="2" t="s">
        <v>90</v>
      </c>
      <c r="B50" s="2" t="s">
        <v>171</v>
      </c>
      <c r="C50" s="2" t="s">
        <v>149</v>
      </c>
      <c r="D50" s="2">
        <v>1351</v>
      </c>
      <c r="E50" s="2">
        <v>1316</v>
      </c>
      <c r="F50" s="2">
        <v>1329</v>
      </c>
      <c r="G50" s="2">
        <v>1381</v>
      </c>
      <c r="H50" s="2">
        <v>1415</v>
      </c>
    </row>
    <row r="51" spans="1:8" ht="25.5">
      <c r="A51" s="2" t="s">
        <v>91</v>
      </c>
      <c r="B51" s="2" t="s">
        <v>55</v>
      </c>
      <c r="C51" s="2" t="s">
        <v>149</v>
      </c>
      <c r="D51" s="2">
        <v>1137</v>
      </c>
      <c r="E51" s="2">
        <v>1192</v>
      </c>
      <c r="F51" s="2">
        <v>1188</v>
      </c>
      <c r="G51" s="2">
        <v>1306</v>
      </c>
      <c r="H51" s="2">
        <v>1281</v>
      </c>
    </row>
    <row r="52" spans="1:8" ht="25.5">
      <c r="A52" s="2" t="s">
        <v>91</v>
      </c>
      <c r="B52" s="2" t="s">
        <v>193</v>
      </c>
      <c r="C52" s="2" t="s">
        <v>149</v>
      </c>
      <c r="D52" s="2">
        <v>1199</v>
      </c>
      <c r="E52" s="2">
        <v>946</v>
      </c>
      <c r="F52" s="2">
        <v>929</v>
      </c>
      <c r="G52" s="2">
        <v>998</v>
      </c>
      <c r="H52" s="2">
        <v>1082</v>
      </c>
    </row>
    <row r="53" spans="1:8" ht="25.5">
      <c r="A53" s="2" t="s">
        <v>90</v>
      </c>
      <c r="B53" s="2" t="s">
        <v>158</v>
      </c>
      <c r="C53" s="2" t="s">
        <v>149</v>
      </c>
      <c r="D53" s="2">
        <v>1007</v>
      </c>
      <c r="E53" s="2">
        <v>979</v>
      </c>
      <c r="F53" s="2">
        <v>1011</v>
      </c>
      <c r="G53" s="2">
        <v>1155</v>
      </c>
      <c r="H53" s="2">
        <v>818</v>
      </c>
    </row>
    <row r="54" spans="1:8" ht="25.5">
      <c r="A54" s="2" t="s">
        <v>90</v>
      </c>
      <c r="B54" s="2" t="s">
        <v>168</v>
      </c>
      <c r="C54" s="2" t="s">
        <v>149</v>
      </c>
      <c r="D54" s="2">
        <v>234</v>
      </c>
      <c r="E54" s="2">
        <v>227</v>
      </c>
      <c r="F54" s="2">
        <v>326</v>
      </c>
      <c r="G54" s="2">
        <v>366</v>
      </c>
      <c r="H54" s="2">
        <v>323</v>
      </c>
    </row>
    <row r="55" spans="1:8" ht="25.5">
      <c r="A55" s="2" t="s">
        <v>91</v>
      </c>
      <c r="B55" s="2" t="s">
        <v>220</v>
      </c>
      <c r="C55" s="2" t="s">
        <v>149</v>
      </c>
      <c r="D55" s="2">
        <v>201</v>
      </c>
      <c r="E55" s="2">
        <v>227</v>
      </c>
      <c r="F55" s="2">
        <v>229</v>
      </c>
      <c r="G55" s="2">
        <v>230</v>
      </c>
      <c r="H55" s="2">
        <v>226</v>
      </c>
    </row>
    <row r="56" spans="1:8" ht="25.5">
      <c r="A56" s="2" t="s">
        <v>91</v>
      </c>
      <c r="B56" s="2" t="s">
        <v>183</v>
      </c>
      <c r="C56" s="2" t="s">
        <v>149</v>
      </c>
      <c r="D56" s="2">
        <v>130</v>
      </c>
      <c r="E56" s="2">
        <v>130</v>
      </c>
      <c r="F56" s="2">
        <v>130</v>
      </c>
      <c r="G56" s="2">
        <v>130</v>
      </c>
      <c r="H56" s="2">
        <v>135</v>
      </c>
    </row>
    <row r="57" spans="1:8" ht="25.5">
      <c r="A57" s="2" t="s">
        <v>91</v>
      </c>
      <c r="B57" s="2" t="s">
        <v>70</v>
      </c>
      <c r="C57" s="2" t="s">
        <v>149</v>
      </c>
      <c r="D57" s="2">
        <v>130</v>
      </c>
      <c r="E57" s="2">
        <v>130</v>
      </c>
      <c r="F57" s="2">
        <v>130</v>
      </c>
      <c r="G57" s="2">
        <v>130</v>
      </c>
      <c r="H57" s="2">
        <v>135</v>
      </c>
    </row>
    <row r="58" spans="1:8" ht="25.5">
      <c r="A58" s="2" t="s">
        <v>91</v>
      </c>
      <c r="B58" s="2" t="s">
        <v>207</v>
      </c>
      <c r="C58" s="2" t="s">
        <v>149</v>
      </c>
      <c r="D58" s="2">
        <v>382</v>
      </c>
      <c r="E58" s="2">
        <v>256</v>
      </c>
      <c r="F58" s="2">
        <v>86</v>
      </c>
      <c r="G58" s="2">
        <v>100</v>
      </c>
      <c r="H58" s="2">
        <v>42</v>
      </c>
    </row>
  </sheetData>
  <printOptions/>
  <pageMargins left="0.787401575" right="0.787401575" top="1" bottom="1" header="0" footer="0"/>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topLeftCell="A1"/>
  </sheetViews>
  <sheetFormatPr defaultColWidth="11.00390625" defaultRowHeight="12.75"/>
  <cols>
    <col min="1" max="1" width="16.25390625" style="0" customWidth="1"/>
    <col min="2" max="2" width="21.00390625" style="0" customWidth="1"/>
    <col min="3" max="3" width="9.625" style="0" customWidth="1"/>
    <col min="4" max="4" width="7.125" style="0" customWidth="1"/>
    <col min="5" max="5" width="7.625" style="0" customWidth="1"/>
    <col min="6" max="6" width="6.875" style="0" customWidth="1"/>
    <col min="7" max="7" width="8.125" style="0" customWidth="1"/>
    <col min="8" max="8" width="8.25390625" style="0" customWidth="1"/>
  </cols>
  <sheetData>
    <row r="1" spans="1:8" ht="12.75">
      <c r="A1" s="3" t="s">
        <v>145</v>
      </c>
      <c r="B1" s="3" t="s">
        <v>146</v>
      </c>
      <c r="C1" s="3" t="s">
        <v>147</v>
      </c>
      <c r="D1" s="3">
        <v>2003</v>
      </c>
      <c r="E1" s="3">
        <v>2004</v>
      </c>
      <c r="F1" s="3">
        <v>2005</v>
      </c>
      <c r="G1" s="3">
        <v>2006</v>
      </c>
      <c r="H1" s="3">
        <v>2007</v>
      </c>
    </row>
    <row r="2" spans="1:8" ht="25.5">
      <c r="A2" s="2" t="s">
        <v>97</v>
      </c>
      <c r="B2" s="2" t="s">
        <v>57</v>
      </c>
      <c r="C2" s="2" t="s">
        <v>149</v>
      </c>
      <c r="D2" s="2">
        <v>914832</v>
      </c>
      <c r="E2" s="2">
        <v>799248</v>
      </c>
      <c r="F2" s="2">
        <v>858190</v>
      </c>
      <c r="G2" s="2">
        <v>1032589</v>
      </c>
      <c r="H2" s="2">
        <v>1054419</v>
      </c>
    </row>
    <row r="3" spans="1:8" ht="25.5">
      <c r="A3" s="2" t="s">
        <v>97</v>
      </c>
      <c r="B3" s="2" t="s">
        <v>53</v>
      </c>
      <c r="C3" s="2" t="s">
        <v>149</v>
      </c>
      <c r="D3" s="2">
        <v>704755</v>
      </c>
      <c r="E3" s="2">
        <v>629641</v>
      </c>
      <c r="F3" s="2">
        <v>649855</v>
      </c>
      <c r="G3" s="2">
        <v>774890</v>
      </c>
      <c r="H3" s="2">
        <v>788471</v>
      </c>
    </row>
    <row r="4" spans="1:8" ht="25.5">
      <c r="A4" s="2" t="s">
        <v>97</v>
      </c>
      <c r="B4" s="2" t="s">
        <v>72</v>
      </c>
      <c r="C4" s="2" t="s">
        <v>149</v>
      </c>
      <c r="D4" s="2">
        <v>302748</v>
      </c>
      <c r="E4" s="2">
        <v>314664</v>
      </c>
      <c r="F4" s="2">
        <v>336655</v>
      </c>
      <c r="G4" s="2">
        <v>380490</v>
      </c>
      <c r="H4" s="2">
        <v>406040</v>
      </c>
    </row>
    <row r="5" spans="1:8" ht="25.5">
      <c r="A5" s="2" t="s">
        <v>97</v>
      </c>
      <c r="B5" s="2" t="s">
        <v>198</v>
      </c>
      <c r="C5" s="2" t="s">
        <v>149</v>
      </c>
      <c r="D5" s="2">
        <v>358194</v>
      </c>
      <c r="E5" s="2">
        <v>355421</v>
      </c>
      <c r="F5" s="2">
        <v>357221</v>
      </c>
      <c r="G5" s="2">
        <v>363476</v>
      </c>
      <c r="H5" s="2">
        <v>392333</v>
      </c>
    </row>
    <row r="6" spans="1:8" ht="25.5">
      <c r="A6" s="2" t="s">
        <v>97</v>
      </c>
      <c r="B6" s="2" t="s">
        <v>62</v>
      </c>
      <c r="C6" s="2" t="s">
        <v>149</v>
      </c>
      <c r="D6" s="2">
        <v>358194</v>
      </c>
      <c r="E6" s="2">
        <v>355421</v>
      </c>
      <c r="F6" s="2">
        <v>357221</v>
      </c>
      <c r="G6" s="2">
        <v>363476</v>
      </c>
      <c r="H6" s="2">
        <v>392333</v>
      </c>
    </row>
    <row r="7" spans="1:8" ht="25.5">
      <c r="A7" s="2" t="s">
        <v>97</v>
      </c>
      <c r="B7" s="2" t="s">
        <v>52</v>
      </c>
      <c r="C7" s="2" t="s">
        <v>149</v>
      </c>
      <c r="D7" s="2">
        <v>206487</v>
      </c>
      <c r="E7" s="2">
        <v>230371</v>
      </c>
      <c r="F7" s="2">
        <v>233948</v>
      </c>
      <c r="G7" s="2">
        <v>271820</v>
      </c>
      <c r="H7" s="2">
        <v>295554</v>
      </c>
    </row>
    <row r="8" spans="1:8" ht="25.5">
      <c r="A8" s="2" t="s">
        <v>96</v>
      </c>
      <c r="B8" s="2" t="s">
        <v>152</v>
      </c>
      <c r="C8" s="2" t="s">
        <v>149</v>
      </c>
      <c r="D8" s="2">
        <v>152666</v>
      </c>
      <c r="E8" s="2">
        <v>111475</v>
      </c>
      <c r="F8" s="2">
        <v>137912</v>
      </c>
      <c r="G8" s="2">
        <v>186694</v>
      </c>
      <c r="H8" s="2">
        <v>191122</v>
      </c>
    </row>
    <row r="9" spans="1:8" ht="25.5">
      <c r="A9" s="2" t="s">
        <v>97</v>
      </c>
      <c r="B9" s="2" t="s">
        <v>58</v>
      </c>
      <c r="C9" s="2" t="s">
        <v>149</v>
      </c>
      <c r="D9" s="2">
        <v>109460</v>
      </c>
      <c r="E9" s="2">
        <v>150369</v>
      </c>
      <c r="F9" s="2">
        <v>143123</v>
      </c>
      <c r="G9" s="2">
        <v>163336</v>
      </c>
      <c r="H9" s="2">
        <v>164957</v>
      </c>
    </row>
    <row r="10" spans="1:8" ht="25.5">
      <c r="A10" s="2" t="s">
        <v>96</v>
      </c>
      <c r="B10" s="2" t="s">
        <v>171</v>
      </c>
      <c r="C10" s="2" t="s">
        <v>149</v>
      </c>
      <c r="D10" s="2">
        <v>59498</v>
      </c>
      <c r="E10" s="2">
        <v>80193</v>
      </c>
      <c r="F10" s="2">
        <v>72858</v>
      </c>
      <c r="G10" s="2">
        <v>78316</v>
      </c>
      <c r="H10" s="2">
        <v>90489</v>
      </c>
    </row>
    <row r="11" spans="1:8" ht="25.5">
      <c r="A11" s="2" t="s">
        <v>97</v>
      </c>
      <c r="B11" s="2" t="s">
        <v>204</v>
      </c>
      <c r="C11" s="2" t="s">
        <v>149</v>
      </c>
      <c r="D11" s="2">
        <v>71639</v>
      </c>
      <c r="E11" s="2">
        <v>71084</v>
      </c>
      <c r="F11" s="2">
        <v>71444</v>
      </c>
      <c r="G11" s="2">
        <v>72695</v>
      </c>
      <c r="H11" s="2">
        <v>78467</v>
      </c>
    </row>
    <row r="12" spans="1:8" ht="25.5">
      <c r="A12" s="2" t="s">
        <v>97</v>
      </c>
      <c r="B12" s="2" t="s">
        <v>51</v>
      </c>
      <c r="C12" s="2" t="s">
        <v>149</v>
      </c>
      <c r="D12" s="2">
        <v>56193</v>
      </c>
      <c r="E12" s="2">
        <v>51046</v>
      </c>
      <c r="F12" s="2">
        <v>65754</v>
      </c>
      <c r="G12" s="2">
        <v>69191</v>
      </c>
      <c r="H12" s="2">
        <v>68590</v>
      </c>
    </row>
    <row r="13" spans="1:8" ht="25.5">
      <c r="A13" s="2" t="s">
        <v>96</v>
      </c>
      <c r="B13" s="2" t="s">
        <v>169</v>
      </c>
      <c r="C13" s="2" t="s">
        <v>149</v>
      </c>
      <c r="D13" s="2">
        <v>40212</v>
      </c>
      <c r="E13" s="2">
        <v>53330</v>
      </c>
      <c r="F13" s="2">
        <v>54261</v>
      </c>
      <c r="G13" s="2">
        <v>64246</v>
      </c>
      <c r="H13" s="2">
        <v>57435</v>
      </c>
    </row>
    <row r="14" spans="1:8" ht="25.5">
      <c r="A14" s="2" t="s">
        <v>96</v>
      </c>
      <c r="B14" s="2" t="s">
        <v>188</v>
      </c>
      <c r="C14" s="2" t="s">
        <v>149</v>
      </c>
      <c r="D14" s="2">
        <v>40068</v>
      </c>
      <c r="E14" s="2">
        <v>33247</v>
      </c>
      <c r="F14" s="2">
        <v>36953</v>
      </c>
      <c r="G14" s="2">
        <v>39479</v>
      </c>
      <c r="H14" s="2">
        <v>41896</v>
      </c>
    </row>
    <row r="15" spans="1:8" ht="25.5">
      <c r="A15" s="2" t="s">
        <v>97</v>
      </c>
      <c r="B15" s="2" t="s">
        <v>203</v>
      </c>
      <c r="C15" s="2" t="s">
        <v>149</v>
      </c>
      <c r="D15" s="2">
        <v>28128</v>
      </c>
      <c r="E15" s="2">
        <v>29764</v>
      </c>
      <c r="F15" s="2">
        <v>39801</v>
      </c>
      <c r="G15" s="2">
        <v>38200</v>
      </c>
      <c r="H15" s="2">
        <v>34335</v>
      </c>
    </row>
    <row r="16" spans="1:8" ht="25.5">
      <c r="A16" s="2" t="s">
        <v>97</v>
      </c>
      <c r="B16" s="2" t="s">
        <v>59</v>
      </c>
      <c r="C16" s="2" t="s">
        <v>149</v>
      </c>
      <c r="D16" s="2">
        <v>29133</v>
      </c>
      <c r="E16" s="2">
        <v>32913</v>
      </c>
      <c r="F16" s="2">
        <v>33046</v>
      </c>
      <c r="G16" s="2">
        <v>28107</v>
      </c>
      <c r="H16" s="2">
        <v>31643</v>
      </c>
    </row>
    <row r="17" spans="1:8" ht="25.5">
      <c r="A17" s="2" t="s">
        <v>96</v>
      </c>
      <c r="B17" s="2" t="s">
        <v>179</v>
      </c>
      <c r="C17" s="2" t="s">
        <v>149</v>
      </c>
      <c r="D17" s="2">
        <v>24297</v>
      </c>
      <c r="E17" s="2">
        <v>26999</v>
      </c>
      <c r="F17" s="2">
        <v>29471</v>
      </c>
      <c r="G17" s="2">
        <v>28936</v>
      </c>
      <c r="H17" s="2">
        <v>28741</v>
      </c>
    </row>
    <row r="18" spans="1:8" ht="25.5">
      <c r="A18" s="2" t="s">
        <v>97</v>
      </c>
      <c r="B18" s="2" t="s">
        <v>202</v>
      </c>
      <c r="C18" s="2" t="s">
        <v>149</v>
      </c>
      <c r="D18" s="2">
        <v>18761</v>
      </c>
      <c r="E18" s="2">
        <v>19852</v>
      </c>
      <c r="F18" s="2">
        <v>26547</v>
      </c>
      <c r="G18" s="2">
        <v>25479</v>
      </c>
      <c r="H18" s="2">
        <v>22902</v>
      </c>
    </row>
    <row r="19" spans="1:8" ht="25.5">
      <c r="A19" s="2" t="s">
        <v>96</v>
      </c>
      <c r="B19" s="2" t="s">
        <v>166</v>
      </c>
      <c r="C19" s="2" t="s">
        <v>149</v>
      </c>
      <c r="D19" s="2">
        <v>15500</v>
      </c>
      <c r="E19" s="2">
        <v>21400</v>
      </c>
      <c r="F19" s="2">
        <v>21223</v>
      </c>
      <c r="G19" s="2">
        <v>15350</v>
      </c>
      <c r="H19" s="2">
        <v>19966</v>
      </c>
    </row>
    <row r="20" spans="1:8" ht="25.5">
      <c r="A20" s="2" t="s">
        <v>96</v>
      </c>
      <c r="B20" s="2" t="s">
        <v>150</v>
      </c>
      <c r="C20" s="2" t="s">
        <v>149</v>
      </c>
      <c r="D20" s="2">
        <v>9720</v>
      </c>
      <c r="E20" s="2">
        <v>16796</v>
      </c>
      <c r="F20" s="2">
        <v>15954</v>
      </c>
      <c r="G20" s="2">
        <v>20699</v>
      </c>
      <c r="H20" s="2">
        <v>16978</v>
      </c>
    </row>
    <row r="21" spans="1:8" ht="25.5">
      <c r="A21" s="2" t="s">
        <v>96</v>
      </c>
      <c r="B21" s="2" t="s">
        <v>184</v>
      </c>
      <c r="C21" s="2" t="s">
        <v>149</v>
      </c>
      <c r="D21" s="2">
        <v>5035</v>
      </c>
      <c r="E21" s="2">
        <v>4532</v>
      </c>
      <c r="F21" s="2">
        <v>6945</v>
      </c>
      <c r="G21" s="2">
        <v>7985</v>
      </c>
      <c r="H21" s="2">
        <v>9654</v>
      </c>
    </row>
    <row r="22" spans="1:8" ht="25.5">
      <c r="A22" s="2" t="s">
        <v>97</v>
      </c>
      <c r="B22" s="2" t="s">
        <v>216</v>
      </c>
      <c r="C22" s="2" t="s">
        <v>149</v>
      </c>
      <c r="D22" s="2">
        <v>13561</v>
      </c>
      <c r="E22" s="2">
        <v>12662</v>
      </c>
      <c r="F22" s="2">
        <v>8144</v>
      </c>
      <c r="G22" s="2">
        <v>7530</v>
      </c>
      <c r="H22" s="2">
        <v>7677</v>
      </c>
    </row>
    <row r="23" spans="1:8" ht="25.5">
      <c r="A23" s="2" t="s">
        <v>97</v>
      </c>
      <c r="B23" s="2" t="s">
        <v>69</v>
      </c>
      <c r="C23" s="2" t="s">
        <v>149</v>
      </c>
      <c r="D23" s="2">
        <v>13561</v>
      </c>
      <c r="E23" s="2">
        <v>12662</v>
      </c>
      <c r="F23" s="2">
        <v>8144</v>
      </c>
      <c r="G23" s="2">
        <v>7530</v>
      </c>
      <c r="H23" s="2">
        <v>7677</v>
      </c>
    </row>
    <row r="24" spans="1:8" ht="25.5">
      <c r="A24" s="2" t="s">
        <v>97</v>
      </c>
      <c r="B24" s="2" t="s">
        <v>206</v>
      </c>
      <c r="C24" s="2" t="s">
        <v>149</v>
      </c>
      <c r="D24" s="2">
        <v>3950</v>
      </c>
      <c r="E24" s="2">
        <v>2238</v>
      </c>
      <c r="F24" s="2">
        <v>2893</v>
      </c>
      <c r="G24" s="2">
        <v>3539</v>
      </c>
      <c r="H24" s="2">
        <v>7561</v>
      </c>
    </row>
    <row r="25" spans="1:8" ht="25.5">
      <c r="A25" s="2" t="s">
        <v>97</v>
      </c>
      <c r="B25" s="2" t="s">
        <v>223</v>
      </c>
      <c r="C25" s="2" t="s">
        <v>149</v>
      </c>
      <c r="D25" s="2">
        <v>8441</v>
      </c>
      <c r="E25" s="2">
        <v>6970</v>
      </c>
      <c r="F25" s="2">
        <v>7195</v>
      </c>
      <c r="G25" s="2">
        <v>8347</v>
      </c>
      <c r="H25" s="2">
        <v>6500</v>
      </c>
    </row>
    <row r="26" spans="1:8" ht="25.5">
      <c r="A26" s="2" t="s">
        <v>96</v>
      </c>
      <c r="B26" s="2" t="s">
        <v>158</v>
      </c>
      <c r="C26" s="2" t="s">
        <v>149</v>
      </c>
      <c r="D26" s="2">
        <v>2193</v>
      </c>
      <c r="E26" s="2">
        <v>2011</v>
      </c>
      <c r="F26" s="2">
        <v>2828</v>
      </c>
      <c r="G26" s="2">
        <v>2937</v>
      </c>
      <c r="H26" s="2">
        <v>4136</v>
      </c>
    </row>
    <row r="27" spans="1:8" ht="25.5">
      <c r="A27" s="2" t="s">
        <v>97</v>
      </c>
      <c r="B27" s="2" t="s">
        <v>60</v>
      </c>
      <c r="C27" s="2" t="s">
        <v>149</v>
      </c>
      <c r="D27" s="2">
        <v>2471</v>
      </c>
      <c r="E27" s="2">
        <v>3539</v>
      </c>
      <c r="F27" s="2">
        <v>3223</v>
      </c>
      <c r="G27" s="2">
        <v>2731</v>
      </c>
      <c r="H27" s="2">
        <v>3919</v>
      </c>
    </row>
    <row r="28" spans="1:8" ht="25.5">
      <c r="A28" s="2" t="s">
        <v>96</v>
      </c>
      <c r="B28" s="2" t="s">
        <v>193</v>
      </c>
      <c r="C28" s="2" t="s">
        <v>149</v>
      </c>
      <c r="D28" s="2">
        <v>1883</v>
      </c>
      <c r="E28" s="2">
        <v>2751</v>
      </c>
      <c r="F28" s="2">
        <v>2615</v>
      </c>
      <c r="G28" s="2">
        <v>2203</v>
      </c>
      <c r="H28" s="2">
        <v>3196</v>
      </c>
    </row>
    <row r="29" spans="1:8" ht="25.5">
      <c r="A29" s="2" t="s">
        <v>96</v>
      </c>
      <c r="B29" s="2" t="s">
        <v>186</v>
      </c>
      <c r="C29" s="2" t="s">
        <v>149</v>
      </c>
      <c r="D29" s="2">
        <v>4242</v>
      </c>
      <c r="E29" s="2">
        <v>3730</v>
      </c>
      <c r="F29" s="2">
        <v>3004</v>
      </c>
      <c r="G29" s="2">
        <v>2247</v>
      </c>
      <c r="H29" s="2">
        <v>2206</v>
      </c>
    </row>
    <row r="30" spans="1:8" ht="25.5">
      <c r="A30" s="2" t="s">
        <v>96</v>
      </c>
      <c r="B30" s="2" t="s">
        <v>181</v>
      </c>
      <c r="C30" s="2" t="s">
        <v>149</v>
      </c>
      <c r="D30" s="2">
        <v>3075</v>
      </c>
      <c r="E30" s="2">
        <v>2394</v>
      </c>
      <c r="F30" s="2">
        <v>1668</v>
      </c>
      <c r="G30" s="2">
        <v>2013</v>
      </c>
      <c r="H30" s="2">
        <v>1688</v>
      </c>
    </row>
    <row r="31" spans="1:8" ht="25.5">
      <c r="A31" s="2" t="s">
        <v>97</v>
      </c>
      <c r="B31" s="2" t="s">
        <v>213</v>
      </c>
      <c r="C31" s="2" t="s">
        <v>149</v>
      </c>
      <c r="D31" s="2">
        <v>421</v>
      </c>
      <c r="E31" s="2">
        <v>467</v>
      </c>
      <c r="F31" s="2">
        <v>941</v>
      </c>
      <c r="G31" s="2">
        <v>1059</v>
      </c>
      <c r="H31" s="2">
        <v>1525</v>
      </c>
    </row>
    <row r="32" spans="1:8" ht="25.5">
      <c r="A32" s="2" t="s">
        <v>97</v>
      </c>
      <c r="B32" s="2" t="s">
        <v>201</v>
      </c>
      <c r="C32" s="2" t="s">
        <v>149</v>
      </c>
      <c r="D32" s="2">
        <v>377</v>
      </c>
      <c r="E32" s="2">
        <v>194</v>
      </c>
      <c r="F32" s="2">
        <v>493</v>
      </c>
      <c r="G32" s="2">
        <v>907</v>
      </c>
      <c r="H32" s="2">
        <v>1299</v>
      </c>
    </row>
    <row r="33" spans="1:8" ht="25.5">
      <c r="A33" s="2" t="s">
        <v>97</v>
      </c>
      <c r="B33" s="2" t="s">
        <v>215</v>
      </c>
      <c r="C33" s="2" t="s">
        <v>149</v>
      </c>
      <c r="D33" s="2">
        <v>1347</v>
      </c>
      <c r="E33" s="2">
        <v>1515</v>
      </c>
      <c r="F33" s="2">
        <v>1275</v>
      </c>
      <c r="G33" s="2">
        <v>1323</v>
      </c>
      <c r="H33" s="2">
        <v>1163</v>
      </c>
    </row>
    <row r="34" spans="1:8" ht="25.5">
      <c r="A34" s="2" t="s">
        <v>97</v>
      </c>
      <c r="B34" s="2" t="s">
        <v>221</v>
      </c>
      <c r="C34" s="2" t="s">
        <v>149</v>
      </c>
      <c r="D34" s="2">
        <v>1347</v>
      </c>
      <c r="E34" s="2">
        <v>1515</v>
      </c>
      <c r="F34" s="2">
        <v>1275</v>
      </c>
      <c r="G34" s="2">
        <v>1323</v>
      </c>
      <c r="H34" s="2">
        <v>1163</v>
      </c>
    </row>
    <row r="35" spans="1:8" ht="25.5">
      <c r="A35" s="2" t="s">
        <v>97</v>
      </c>
      <c r="B35" s="2" t="s">
        <v>68</v>
      </c>
      <c r="C35" s="2" t="s">
        <v>149</v>
      </c>
      <c r="D35" s="2">
        <v>1347</v>
      </c>
      <c r="E35" s="2">
        <v>1515</v>
      </c>
      <c r="F35" s="2">
        <v>1275</v>
      </c>
      <c r="G35" s="2">
        <v>1323</v>
      </c>
      <c r="H35" s="2">
        <v>1163</v>
      </c>
    </row>
    <row r="36" spans="1:8" ht="25.5">
      <c r="A36" s="2" t="s">
        <v>97</v>
      </c>
      <c r="B36" s="2" t="s">
        <v>222</v>
      </c>
      <c r="C36" s="2" t="s">
        <v>149</v>
      </c>
      <c r="D36" s="2">
        <v>1239</v>
      </c>
      <c r="E36" s="2">
        <v>1394</v>
      </c>
      <c r="F36" s="2">
        <v>1173</v>
      </c>
      <c r="G36" s="2">
        <v>1217</v>
      </c>
      <c r="H36" s="2">
        <v>1070</v>
      </c>
    </row>
    <row r="37" spans="1:8" ht="25.5">
      <c r="A37" s="2" t="s">
        <v>97</v>
      </c>
      <c r="B37" s="2" t="s">
        <v>199</v>
      </c>
      <c r="C37" s="2" t="s">
        <v>149</v>
      </c>
      <c r="D37" s="2">
        <v>436</v>
      </c>
      <c r="E37" s="2">
        <v>726</v>
      </c>
      <c r="F37" s="2">
        <v>577</v>
      </c>
      <c r="G37" s="2">
        <v>503</v>
      </c>
      <c r="H37" s="2">
        <v>695</v>
      </c>
    </row>
    <row r="38" spans="1:8" ht="25.5">
      <c r="A38" s="2" t="s">
        <v>96</v>
      </c>
      <c r="B38" s="2" t="s">
        <v>173</v>
      </c>
      <c r="C38" s="2" t="s">
        <v>149</v>
      </c>
      <c r="D38" s="2">
        <v>217</v>
      </c>
      <c r="E38" s="2">
        <v>217</v>
      </c>
      <c r="F38" s="2">
        <v>271</v>
      </c>
      <c r="G38" s="2">
        <v>282</v>
      </c>
      <c r="H38" s="2">
        <v>210</v>
      </c>
    </row>
    <row r="39" spans="1:8" ht="25.5">
      <c r="A39" s="2" t="s">
        <v>96</v>
      </c>
      <c r="B39" s="2" t="s">
        <v>174</v>
      </c>
      <c r="C39" s="2" t="s">
        <v>149</v>
      </c>
      <c r="D39" s="2">
        <v>152</v>
      </c>
      <c r="E39" s="2">
        <v>152</v>
      </c>
      <c r="F39" s="2">
        <v>190</v>
      </c>
      <c r="G39" s="2">
        <v>197</v>
      </c>
      <c r="H39" s="2">
        <v>147</v>
      </c>
    </row>
    <row r="40" spans="1:8" ht="25.5">
      <c r="A40" s="2" t="s">
        <v>97</v>
      </c>
      <c r="B40" s="2" t="s">
        <v>211</v>
      </c>
      <c r="C40" s="2" t="s">
        <v>149</v>
      </c>
      <c r="D40" s="2">
        <v>100</v>
      </c>
      <c r="E40" s="2">
        <v>105</v>
      </c>
      <c r="F40" s="2">
        <v>70</v>
      </c>
      <c r="G40" s="2">
        <v>116</v>
      </c>
      <c r="H40" s="2">
        <v>144</v>
      </c>
    </row>
    <row r="41" spans="1:8" ht="25.5">
      <c r="A41" s="2" t="s">
        <v>96</v>
      </c>
      <c r="B41" s="2" t="s">
        <v>183</v>
      </c>
      <c r="C41" s="2" t="s">
        <v>149</v>
      </c>
      <c r="D41" s="2">
        <v>90</v>
      </c>
      <c r="E41" s="2">
        <v>90</v>
      </c>
      <c r="F41" s="2">
        <v>90</v>
      </c>
      <c r="G41" s="2">
        <v>105</v>
      </c>
      <c r="H41" s="2">
        <v>90</v>
      </c>
    </row>
    <row r="42" spans="1:8" ht="25.5">
      <c r="A42" s="2" t="s">
        <v>97</v>
      </c>
      <c r="B42" s="2" t="s">
        <v>70</v>
      </c>
      <c r="C42" s="2" t="s">
        <v>149</v>
      </c>
      <c r="D42" s="2">
        <v>90</v>
      </c>
      <c r="E42" s="2">
        <v>90</v>
      </c>
      <c r="F42" s="2">
        <v>90</v>
      </c>
      <c r="G42" s="2">
        <v>105</v>
      </c>
      <c r="H42" s="2">
        <v>90</v>
      </c>
    </row>
    <row r="43" spans="1:8" ht="25.5">
      <c r="A43" s="2" t="s">
        <v>96</v>
      </c>
      <c r="B43" s="2" t="s">
        <v>178</v>
      </c>
      <c r="C43" s="2" t="s">
        <v>149</v>
      </c>
      <c r="D43" s="2">
        <v>30</v>
      </c>
      <c r="E43" s="2">
        <v>50</v>
      </c>
      <c r="F43" s="2">
        <v>50</v>
      </c>
      <c r="G43" s="2">
        <v>75</v>
      </c>
      <c r="H43" s="2">
        <v>55</v>
      </c>
    </row>
    <row r="44" spans="1:8" ht="25.5">
      <c r="A44" s="2" t="s">
        <v>96</v>
      </c>
      <c r="B44" s="2" t="s">
        <v>153</v>
      </c>
      <c r="C44" s="2" t="s">
        <v>149</v>
      </c>
      <c r="D44" s="2">
        <v>152</v>
      </c>
      <c r="E44" s="2">
        <v>62</v>
      </c>
      <c r="F44" s="2">
        <v>31</v>
      </c>
      <c r="G44" s="2">
        <v>25</v>
      </c>
      <c r="H44" s="2">
        <v>28</v>
      </c>
    </row>
  </sheetData>
  <printOptions/>
  <pageMargins left="0.787401575" right="0.787401575" top="1" bottom="1" header="0" footer="0"/>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workbookViewId="0" topLeftCell="A1"/>
  </sheetViews>
  <sheetFormatPr defaultColWidth="11.00390625" defaultRowHeight="12.75"/>
  <cols>
    <col min="1" max="1" width="15.00390625" style="0" customWidth="1"/>
    <col min="2" max="2" width="21.00390625" style="0" customWidth="1"/>
    <col min="3" max="3" width="9.625" style="0" customWidth="1"/>
    <col min="4" max="4" width="10.875" style="0" customWidth="1"/>
    <col min="5" max="5" width="9.625" style="0" customWidth="1"/>
    <col min="6" max="7" width="8.625" style="0" customWidth="1"/>
    <col min="8" max="8" width="8.75390625" style="0" customWidth="1"/>
  </cols>
  <sheetData>
    <row r="1" spans="1:8" ht="12.75">
      <c r="A1" s="3" t="s">
        <v>145</v>
      </c>
      <c r="B1" s="3" t="s">
        <v>146</v>
      </c>
      <c r="C1" s="3" t="s">
        <v>147</v>
      </c>
      <c r="D1" s="3">
        <v>2003</v>
      </c>
      <c r="E1" s="3">
        <v>2004</v>
      </c>
      <c r="F1" s="3">
        <v>2005</v>
      </c>
      <c r="G1" s="3">
        <v>2006</v>
      </c>
      <c r="H1" s="3">
        <v>2007</v>
      </c>
    </row>
    <row r="2" spans="1:8" ht="25.5">
      <c r="A2" s="2" t="s">
        <v>99</v>
      </c>
      <c r="B2" s="2" t="s">
        <v>72</v>
      </c>
      <c r="C2" s="2" t="s">
        <v>149</v>
      </c>
      <c r="D2" s="2">
        <v>35274707</v>
      </c>
      <c r="E2" s="2">
        <v>35969885</v>
      </c>
      <c r="F2" s="2">
        <v>36830666</v>
      </c>
      <c r="G2" s="2">
        <v>38016507</v>
      </c>
      <c r="H2" s="2">
        <v>38501144</v>
      </c>
    </row>
    <row r="3" spans="1:8" ht="25.5">
      <c r="A3" s="2" t="s">
        <v>99</v>
      </c>
      <c r="B3" s="2" t="s">
        <v>52</v>
      </c>
      <c r="C3" s="2" t="s">
        <v>149</v>
      </c>
      <c r="D3" s="2">
        <v>31180137</v>
      </c>
      <c r="E3" s="2">
        <v>31700646</v>
      </c>
      <c r="F3" s="2">
        <v>32340786</v>
      </c>
      <c r="G3" s="2">
        <v>33427931</v>
      </c>
      <c r="H3" s="2">
        <v>33699549</v>
      </c>
    </row>
    <row r="4" spans="1:8" ht="25.5">
      <c r="A4" s="2" t="s">
        <v>99</v>
      </c>
      <c r="B4" s="2" t="s">
        <v>57</v>
      </c>
      <c r="C4" s="2" t="s">
        <v>149</v>
      </c>
      <c r="D4" s="2">
        <v>20804691</v>
      </c>
      <c r="E4" s="2">
        <v>17213420</v>
      </c>
      <c r="F4" s="2">
        <v>16705605</v>
      </c>
      <c r="G4" s="2">
        <v>16277961</v>
      </c>
      <c r="H4" s="2">
        <v>16449291</v>
      </c>
    </row>
    <row r="5" spans="1:8" ht="25.5">
      <c r="A5" s="2" t="s">
        <v>99</v>
      </c>
      <c r="B5" s="2" t="s">
        <v>203</v>
      </c>
      <c r="C5" s="2" t="s">
        <v>149</v>
      </c>
      <c r="D5" s="2">
        <v>11066713</v>
      </c>
      <c r="E5" s="2">
        <v>9042518</v>
      </c>
      <c r="F5" s="2">
        <v>8057200</v>
      </c>
      <c r="G5" s="2">
        <v>9626970</v>
      </c>
      <c r="H5" s="2">
        <v>9721146</v>
      </c>
    </row>
    <row r="6" spans="1:8" ht="25.5">
      <c r="A6" s="2" t="s">
        <v>99</v>
      </c>
      <c r="B6" s="2" t="s">
        <v>58</v>
      </c>
      <c r="C6" s="2" t="s">
        <v>149</v>
      </c>
      <c r="D6" s="2">
        <v>6597020</v>
      </c>
      <c r="E6" s="2">
        <v>7125133</v>
      </c>
      <c r="F6" s="2">
        <v>7439400</v>
      </c>
      <c r="G6" s="2">
        <v>7757484</v>
      </c>
      <c r="H6" s="2">
        <v>8135799</v>
      </c>
    </row>
    <row r="7" spans="1:8" ht="25.5">
      <c r="A7" s="2" t="s">
        <v>99</v>
      </c>
      <c r="B7" s="2" t="s">
        <v>62</v>
      </c>
      <c r="C7" s="2" t="s">
        <v>149</v>
      </c>
      <c r="D7" s="2">
        <v>9591714</v>
      </c>
      <c r="E7" s="2">
        <v>9683849</v>
      </c>
      <c r="F7" s="2">
        <v>9490431</v>
      </c>
      <c r="G7" s="2">
        <v>7661645</v>
      </c>
      <c r="H7" s="2">
        <v>7840010</v>
      </c>
    </row>
    <row r="8" spans="1:8" ht="25.5">
      <c r="A8" s="2" t="s">
        <v>99</v>
      </c>
      <c r="B8" s="2" t="s">
        <v>179</v>
      </c>
      <c r="C8" s="2" t="s">
        <v>149</v>
      </c>
      <c r="D8" s="2">
        <v>8579009</v>
      </c>
      <c r="E8" s="2">
        <v>6580102</v>
      </c>
      <c r="F8" s="2">
        <v>6579549</v>
      </c>
      <c r="G8" s="2">
        <v>6285392</v>
      </c>
      <c r="H8" s="2">
        <v>6661039</v>
      </c>
    </row>
    <row r="9" spans="1:8" ht="25.5">
      <c r="A9" s="2" t="s">
        <v>99</v>
      </c>
      <c r="B9" s="2" t="s">
        <v>202</v>
      </c>
      <c r="C9" s="2" t="s">
        <v>149</v>
      </c>
      <c r="D9" s="2">
        <v>7381497</v>
      </c>
      <c r="E9" s="2">
        <v>6031360</v>
      </c>
      <c r="F9" s="2">
        <v>5374152</v>
      </c>
      <c r="G9" s="2">
        <v>6421189</v>
      </c>
      <c r="H9" s="2">
        <v>6484004</v>
      </c>
    </row>
    <row r="10" spans="1:8" ht="25.5">
      <c r="A10" s="2" t="s">
        <v>99</v>
      </c>
      <c r="B10" s="2" t="s">
        <v>47</v>
      </c>
      <c r="C10" s="2" t="s">
        <v>149</v>
      </c>
      <c r="D10" s="2">
        <v>5469808</v>
      </c>
      <c r="E10" s="2">
        <v>5378241</v>
      </c>
      <c r="F10" s="2">
        <v>5219016</v>
      </c>
      <c r="G10" s="2">
        <v>4143381</v>
      </c>
      <c r="H10" s="2">
        <v>3883924</v>
      </c>
    </row>
    <row r="11" spans="1:8" ht="25.5">
      <c r="A11" s="2" t="s">
        <v>99</v>
      </c>
      <c r="B11" s="2" t="s">
        <v>198</v>
      </c>
      <c r="C11" s="2" t="s">
        <v>149</v>
      </c>
      <c r="D11" s="2">
        <v>3886715</v>
      </c>
      <c r="E11" s="2">
        <v>4080337</v>
      </c>
      <c r="F11" s="2">
        <v>4044045</v>
      </c>
      <c r="G11" s="2">
        <v>3283771</v>
      </c>
      <c r="H11" s="2">
        <v>3715956</v>
      </c>
    </row>
    <row r="12" spans="1:8" ht="25.5">
      <c r="A12" s="2" t="s">
        <v>98</v>
      </c>
      <c r="B12" s="2" t="s">
        <v>150</v>
      </c>
      <c r="C12" s="2" t="s">
        <v>149</v>
      </c>
      <c r="D12" s="2">
        <v>2318170</v>
      </c>
      <c r="E12" s="2">
        <v>2566822</v>
      </c>
      <c r="F12" s="2">
        <v>2608050</v>
      </c>
      <c r="G12" s="2">
        <v>2814977</v>
      </c>
      <c r="H12" s="2">
        <v>2997364</v>
      </c>
    </row>
    <row r="13" spans="1:8" ht="25.5">
      <c r="A13" s="2" t="s">
        <v>98</v>
      </c>
      <c r="B13" s="2" t="s">
        <v>169</v>
      </c>
      <c r="C13" s="2" t="s">
        <v>149</v>
      </c>
      <c r="D13" s="2">
        <v>2419243</v>
      </c>
      <c r="E13" s="2">
        <v>2645178</v>
      </c>
      <c r="F13" s="2">
        <v>2822812</v>
      </c>
      <c r="G13" s="2">
        <v>2879967</v>
      </c>
      <c r="H13" s="2">
        <v>2933357</v>
      </c>
    </row>
    <row r="14" spans="1:8" ht="25.5">
      <c r="A14" s="2" t="s">
        <v>99</v>
      </c>
      <c r="B14" s="2" t="s">
        <v>53</v>
      </c>
      <c r="C14" s="2" t="s">
        <v>149</v>
      </c>
      <c r="D14" s="2">
        <v>4106057</v>
      </c>
      <c r="E14" s="2">
        <v>3897485</v>
      </c>
      <c r="F14" s="2">
        <v>4017361</v>
      </c>
      <c r="G14" s="2">
        <v>2891870</v>
      </c>
      <c r="H14" s="2">
        <v>2724872</v>
      </c>
    </row>
    <row r="15" spans="1:8" ht="25.5">
      <c r="A15" s="2" t="s">
        <v>99</v>
      </c>
      <c r="B15" s="2" t="s">
        <v>51</v>
      </c>
      <c r="C15" s="2" t="s">
        <v>149</v>
      </c>
      <c r="D15" s="2">
        <v>2182027</v>
      </c>
      <c r="E15" s="2">
        <v>2291223</v>
      </c>
      <c r="F15" s="2">
        <v>2400849</v>
      </c>
      <c r="G15" s="2">
        <v>2458207</v>
      </c>
      <c r="H15" s="2">
        <v>2542626</v>
      </c>
    </row>
    <row r="16" spans="1:8" ht="25.5">
      <c r="A16" s="2" t="s">
        <v>99</v>
      </c>
      <c r="B16" s="2" t="s">
        <v>188</v>
      </c>
      <c r="C16" s="2" t="s">
        <v>149</v>
      </c>
      <c r="D16" s="2">
        <v>1912542</v>
      </c>
      <c r="E16" s="2">
        <v>1978016</v>
      </c>
      <c r="F16" s="2">
        <v>2089031</v>
      </c>
      <c r="G16" s="2">
        <v>2130369</v>
      </c>
      <c r="H16" s="2">
        <v>2258969</v>
      </c>
    </row>
    <row r="17" spans="1:8" ht="25.5">
      <c r="A17" s="2" t="s">
        <v>99</v>
      </c>
      <c r="B17" s="2" t="s">
        <v>59</v>
      </c>
      <c r="C17" s="2" t="s">
        <v>149</v>
      </c>
      <c r="D17" s="2">
        <v>1967632</v>
      </c>
      <c r="E17" s="2">
        <v>2316558</v>
      </c>
      <c r="F17" s="2">
        <v>2251686</v>
      </c>
      <c r="G17" s="2">
        <v>2165008</v>
      </c>
      <c r="H17" s="2">
        <v>2147085</v>
      </c>
    </row>
    <row r="18" spans="1:8" ht="25.5">
      <c r="A18" s="2" t="s">
        <v>99</v>
      </c>
      <c r="B18" s="2" t="s">
        <v>204</v>
      </c>
      <c r="C18" s="2" t="s">
        <v>149</v>
      </c>
      <c r="D18" s="2">
        <v>2262361</v>
      </c>
      <c r="E18" s="2">
        <v>2274522</v>
      </c>
      <c r="F18" s="2">
        <v>2226663</v>
      </c>
      <c r="G18" s="2">
        <v>1797153</v>
      </c>
      <c r="H18" s="2">
        <v>1817513</v>
      </c>
    </row>
    <row r="19" spans="1:8" ht="25.5">
      <c r="A19" s="2" t="s">
        <v>98</v>
      </c>
      <c r="B19" s="2" t="s">
        <v>151</v>
      </c>
      <c r="C19" s="2" t="s">
        <v>149</v>
      </c>
      <c r="D19" s="2">
        <v>828878</v>
      </c>
      <c r="E19" s="2">
        <v>841284</v>
      </c>
      <c r="F19" s="2">
        <v>896133</v>
      </c>
      <c r="G19" s="2">
        <v>938800</v>
      </c>
      <c r="H19" s="2">
        <v>1012535</v>
      </c>
    </row>
    <row r="20" spans="1:8" ht="25.5">
      <c r="A20" s="2" t="s">
        <v>99</v>
      </c>
      <c r="B20" s="2" t="s">
        <v>213</v>
      </c>
      <c r="C20" s="2" t="s">
        <v>149</v>
      </c>
      <c r="D20" s="2">
        <v>640156</v>
      </c>
      <c r="E20" s="2">
        <v>792311</v>
      </c>
      <c r="F20" s="2">
        <v>721012</v>
      </c>
      <c r="G20" s="2">
        <v>661998</v>
      </c>
      <c r="H20" s="2">
        <v>656033</v>
      </c>
    </row>
    <row r="21" spans="1:8" ht="25.5">
      <c r="A21" s="2" t="s">
        <v>99</v>
      </c>
      <c r="B21" s="2" t="s">
        <v>189</v>
      </c>
      <c r="C21" s="2" t="s">
        <v>149</v>
      </c>
      <c r="D21" s="2">
        <v>487952</v>
      </c>
      <c r="E21" s="2">
        <v>499892</v>
      </c>
      <c r="F21" s="2">
        <v>546353</v>
      </c>
      <c r="G21" s="2">
        <v>538040</v>
      </c>
      <c r="H21" s="2">
        <v>571292</v>
      </c>
    </row>
    <row r="22" spans="1:8" ht="25.5">
      <c r="A22" s="2" t="s">
        <v>98</v>
      </c>
      <c r="B22" s="2" t="s">
        <v>173</v>
      </c>
      <c r="C22" s="2" t="s">
        <v>149</v>
      </c>
      <c r="D22" s="2">
        <v>537315</v>
      </c>
      <c r="E22" s="2">
        <v>574227</v>
      </c>
      <c r="F22" s="2">
        <v>574160</v>
      </c>
      <c r="G22" s="2">
        <v>526008</v>
      </c>
      <c r="H22" s="2">
        <v>521586</v>
      </c>
    </row>
    <row r="23" spans="1:8" ht="25.5">
      <c r="A23" s="2" t="s">
        <v>99</v>
      </c>
      <c r="B23" s="2" t="s">
        <v>201</v>
      </c>
      <c r="C23" s="2" t="s">
        <v>149</v>
      </c>
      <c r="D23" s="2">
        <v>472644</v>
      </c>
      <c r="E23" s="2">
        <v>554337</v>
      </c>
      <c r="F23" s="2">
        <v>544046</v>
      </c>
      <c r="G23" s="2">
        <v>528242</v>
      </c>
      <c r="H23" s="2">
        <v>485653</v>
      </c>
    </row>
    <row r="24" spans="1:8" ht="25.5">
      <c r="A24" s="2" t="s">
        <v>98</v>
      </c>
      <c r="B24" s="2" t="s">
        <v>166</v>
      </c>
      <c r="C24" s="2" t="s">
        <v>149</v>
      </c>
      <c r="D24" s="2">
        <v>294583</v>
      </c>
      <c r="E24" s="2">
        <v>379411</v>
      </c>
      <c r="F24" s="2">
        <v>387001</v>
      </c>
      <c r="G24" s="2">
        <v>404760</v>
      </c>
      <c r="H24" s="2">
        <v>457440</v>
      </c>
    </row>
    <row r="25" spans="1:8" ht="25.5">
      <c r="A25" s="2" t="s">
        <v>98</v>
      </c>
      <c r="B25" s="2" t="s">
        <v>174</v>
      </c>
      <c r="C25" s="2" t="s">
        <v>149</v>
      </c>
      <c r="D25" s="2">
        <v>376120</v>
      </c>
      <c r="E25" s="2">
        <v>401959</v>
      </c>
      <c r="F25" s="2">
        <v>401912</v>
      </c>
      <c r="G25" s="2">
        <v>368206</v>
      </c>
      <c r="H25" s="2">
        <v>365110</v>
      </c>
    </row>
    <row r="26" spans="1:8" ht="25.5">
      <c r="A26" s="2" t="s">
        <v>98</v>
      </c>
      <c r="B26" s="2" t="s">
        <v>152</v>
      </c>
      <c r="C26" s="2" t="s">
        <v>149</v>
      </c>
      <c r="D26" s="2">
        <v>350577</v>
      </c>
      <c r="E26" s="2">
        <v>383162</v>
      </c>
      <c r="F26" s="2">
        <v>417600</v>
      </c>
      <c r="G26" s="2">
        <v>399122</v>
      </c>
      <c r="H26" s="2">
        <v>343740</v>
      </c>
    </row>
    <row r="27" spans="1:8" ht="25.5">
      <c r="A27" s="2" t="s">
        <v>98</v>
      </c>
      <c r="B27" s="2" t="s">
        <v>171</v>
      </c>
      <c r="C27" s="2" t="s">
        <v>149</v>
      </c>
      <c r="D27" s="2">
        <v>256360</v>
      </c>
      <c r="E27" s="2">
        <v>268875</v>
      </c>
      <c r="F27" s="2">
        <v>275099</v>
      </c>
      <c r="G27" s="2">
        <v>284652</v>
      </c>
      <c r="H27" s="2">
        <v>294958</v>
      </c>
    </row>
    <row r="28" spans="1:8" ht="25.5">
      <c r="A28" s="2" t="s">
        <v>99</v>
      </c>
      <c r="B28" s="2" t="s">
        <v>60</v>
      </c>
      <c r="C28" s="2" t="s">
        <v>149</v>
      </c>
      <c r="D28" s="2">
        <v>201182</v>
      </c>
      <c r="E28" s="2">
        <v>172191</v>
      </c>
      <c r="F28" s="2">
        <v>188049</v>
      </c>
      <c r="G28" s="2">
        <v>167993</v>
      </c>
      <c r="H28" s="2">
        <v>148363</v>
      </c>
    </row>
    <row r="29" spans="1:8" ht="25.5">
      <c r="A29" s="2" t="s">
        <v>98</v>
      </c>
      <c r="B29" s="2" t="s">
        <v>157</v>
      </c>
      <c r="C29" s="2" t="s">
        <v>149</v>
      </c>
      <c r="D29" s="2">
        <v>123932</v>
      </c>
      <c r="E29" s="2">
        <v>117096</v>
      </c>
      <c r="F29" s="2">
        <v>121580</v>
      </c>
      <c r="G29" s="2">
        <v>129928</v>
      </c>
      <c r="H29" s="2">
        <v>131268</v>
      </c>
    </row>
    <row r="30" spans="1:8" ht="25.5">
      <c r="A30" s="2" t="s">
        <v>99</v>
      </c>
      <c r="B30" s="2" t="s">
        <v>196</v>
      </c>
      <c r="C30" s="2" t="s">
        <v>149</v>
      </c>
      <c r="D30" s="2">
        <v>102115</v>
      </c>
      <c r="E30" s="2">
        <v>104917</v>
      </c>
      <c r="F30" s="2">
        <v>106710</v>
      </c>
      <c r="G30" s="2">
        <v>114658</v>
      </c>
      <c r="H30" s="2">
        <v>116285</v>
      </c>
    </row>
    <row r="31" spans="1:8" ht="25.5">
      <c r="A31" s="2" t="s">
        <v>99</v>
      </c>
      <c r="B31" s="2" t="s">
        <v>71</v>
      </c>
      <c r="C31" s="2" t="s">
        <v>149</v>
      </c>
      <c r="D31" s="2">
        <v>79680</v>
      </c>
      <c r="E31" s="2">
        <v>89835</v>
      </c>
      <c r="F31" s="2">
        <v>99201</v>
      </c>
      <c r="G31" s="2">
        <v>113900</v>
      </c>
      <c r="H31" s="2">
        <v>114597</v>
      </c>
    </row>
    <row r="32" spans="1:8" ht="25.5">
      <c r="A32" s="2" t="s">
        <v>99</v>
      </c>
      <c r="B32" s="2" t="s">
        <v>190</v>
      </c>
      <c r="C32" s="2" t="s">
        <v>149</v>
      </c>
      <c r="D32" s="2">
        <v>73522</v>
      </c>
      <c r="E32" s="2">
        <v>84440</v>
      </c>
      <c r="F32" s="2">
        <v>93975</v>
      </c>
      <c r="G32" s="2">
        <v>108710</v>
      </c>
      <c r="H32" s="2">
        <v>109508</v>
      </c>
    </row>
    <row r="33" spans="1:8" ht="25.5">
      <c r="A33" s="2" t="s">
        <v>99</v>
      </c>
      <c r="B33" s="2" t="s">
        <v>211</v>
      </c>
      <c r="C33" s="2" t="s">
        <v>149</v>
      </c>
      <c r="D33" s="2">
        <v>129827</v>
      </c>
      <c r="E33" s="2">
        <v>106563</v>
      </c>
      <c r="F33" s="2">
        <v>115214</v>
      </c>
      <c r="G33" s="2">
        <v>116978</v>
      </c>
      <c r="H33" s="2">
        <v>107598</v>
      </c>
    </row>
    <row r="34" spans="1:8" ht="25.5">
      <c r="A34" s="2" t="s">
        <v>99</v>
      </c>
      <c r="B34" s="2" t="s">
        <v>186</v>
      </c>
      <c r="C34" s="2" t="s">
        <v>149</v>
      </c>
      <c r="D34" s="2">
        <v>88605</v>
      </c>
      <c r="E34" s="2">
        <v>95963</v>
      </c>
      <c r="F34" s="2">
        <v>96206</v>
      </c>
      <c r="G34" s="2">
        <v>98072</v>
      </c>
      <c r="H34" s="2">
        <v>102245</v>
      </c>
    </row>
    <row r="35" spans="1:8" ht="25.5">
      <c r="A35" s="2" t="s">
        <v>99</v>
      </c>
      <c r="B35" s="2" t="s">
        <v>205</v>
      </c>
      <c r="C35" s="2" t="s">
        <v>149</v>
      </c>
      <c r="D35" s="2">
        <v>102394</v>
      </c>
      <c r="E35" s="2">
        <v>98280</v>
      </c>
      <c r="F35" s="2">
        <v>95585</v>
      </c>
      <c r="G35" s="2">
        <v>94955</v>
      </c>
      <c r="H35" s="2">
        <v>99342</v>
      </c>
    </row>
    <row r="36" spans="1:8" ht="25.5">
      <c r="A36" s="2" t="s">
        <v>99</v>
      </c>
      <c r="B36" s="2" t="s">
        <v>178</v>
      </c>
      <c r="C36" s="2" t="s">
        <v>149</v>
      </c>
      <c r="D36" s="2">
        <v>72231</v>
      </c>
      <c r="E36" s="2">
        <v>78472</v>
      </c>
      <c r="F36" s="2">
        <v>78750</v>
      </c>
      <c r="G36" s="2">
        <v>83637</v>
      </c>
      <c r="H36" s="2">
        <v>94442</v>
      </c>
    </row>
    <row r="37" spans="1:8" ht="25.5">
      <c r="A37" s="2" t="s">
        <v>98</v>
      </c>
      <c r="B37" s="2" t="s">
        <v>170</v>
      </c>
      <c r="C37" s="2" t="s">
        <v>149</v>
      </c>
      <c r="D37" s="2">
        <v>76400</v>
      </c>
      <c r="E37" s="2">
        <v>81904</v>
      </c>
      <c r="F37" s="2">
        <v>71538</v>
      </c>
      <c r="G37" s="2">
        <v>70982</v>
      </c>
      <c r="H37" s="2">
        <v>82492</v>
      </c>
    </row>
    <row r="38" spans="1:8" ht="25.5">
      <c r="A38" s="2" t="s">
        <v>99</v>
      </c>
      <c r="B38" s="2" t="s">
        <v>181</v>
      </c>
      <c r="C38" s="2" t="s">
        <v>149</v>
      </c>
      <c r="D38" s="2">
        <v>93287</v>
      </c>
      <c r="E38" s="2">
        <v>86129</v>
      </c>
      <c r="F38" s="2">
        <v>83422</v>
      </c>
      <c r="G38" s="2">
        <v>84956</v>
      </c>
      <c r="H38" s="2">
        <v>70641</v>
      </c>
    </row>
    <row r="39" spans="1:8" ht="25.5">
      <c r="A39" s="2" t="s">
        <v>98</v>
      </c>
      <c r="B39" s="2" t="s">
        <v>153</v>
      </c>
      <c r="C39" s="2" t="s">
        <v>149</v>
      </c>
      <c r="D39" s="2">
        <v>88150</v>
      </c>
      <c r="E39" s="2">
        <v>78635</v>
      </c>
      <c r="F39" s="2">
        <v>81008</v>
      </c>
      <c r="G39" s="2">
        <v>70913</v>
      </c>
      <c r="H39" s="2">
        <v>66539</v>
      </c>
    </row>
    <row r="40" spans="1:8" ht="25.5">
      <c r="A40" s="2" t="s">
        <v>98</v>
      </c>
      <c r="B40" s="2" t="s">
        <v>155</v>
      </c>
      <c r="C40" s="2" t="s">
        <v>149</v>
      </c>
      <c r="D40" s="2">
        <v>50762</v>
      </c>
      <c r="E40" s="2">
        <v>53349</v>
      </c>
      <c r="F40" s="2">
        <v>54646</v>
      </c>
      <c r="G40" s="2">
        <v>55946</v>
      </c>
      <c r="H40" s="2">
        <v>57253</v>
      </c>
    </row>
    <row r="41" spans="1:8" ht="25.5">
      <c r="A41" s="2" t="s">
        <v>99</v>
      </c>
      <c r="B41" s="2" t="s">
        <v>56</v>
      </c>
      <c r="C41" s="2" t="s">
        <v>149</v>
      </c>
      <c r="D41" s="2">
        <v>50762</v>
      </c>
      <c r="E41" s="2">
        <v>53349</v>
      </c>
      <c r="F41" s="2">
        <v>54646</v>
      </c>
      <c r="G41" s="2">
        <v>55946</v>
      </c>
      <c r="H41" s="2">
        <v>57253</v>
      </c>
    </row>
    <row r="42" spans="1:8" ht="25.5">
      <c r="A42" s="2" t="s">
        <v>99</v>
      </c>
      <c r="B42" s="2" t="s">
        <v>199</v>
      </c>
      <c r="C42" s="2" t="s">
        <v>149</v>
      </c>
      <c r="D42" s="2">
        <v>68735</v>
      </c>
      <c r="E42" s="2">
        <v>59045</v>
      </c>
      <c r="F42" s="2">
        <v>64579</v>
      </c>
      <c r="G42" s="2">
        <v>56179</v>
      </c>
      <c r="H42" s="2">
        <v>47142</v>
      </c>
    </row>
    <row r="43" spans="1:8" ht="25.5">
      <c r="A43" s="2" t="s">
        <v>99</v>
      </c>
      <c r="B43" s="2" t="s">
        <v>183</v>
      </c>
      <c r="C43" s="2" t="s">
        <v>149</v>
      </c>
      <c r="D43" s="2">
        <v>37752</v>
      </c>
      <c r="E43" s="2">
        <v>42974</v>
      </c>
      <c r="F43" s="2">
        <v>45969</v>
      </c>
      <c r="G43" s="2">
        <v>50057</v>
      </c>
      <c r="H43" s="2">
        <v>44322</v>
      </c>
    </row>
    <row r="44" spans="1:8" ht="25.5">
      <c r="A44" s="2" t="s">
        <v>99</v>
      </c>
      <c r="B44" s="2" t="s">
        <v>70</v>
      </c>
      <c r="C44" s="2" t="s">
        <v>149</v>
      </c>
      <c r="D44" s="2">
        <v>37752</v>
      </c>
      <c r="E44" s="2">
        <v>42974</v>
      </c>
      <c r="F44" s="2">
        <v>45969</v>
      </c>
      <c r="G44" s="2">
        <v>50057</v>
      </c>
      <c r="H44" s="2">
        <v>44322</v>
      </c>
    </row>
    <row r="45" spans="1:8" ht="25.5">
      <c r="A45" s="2" t="s">
        <v>99</v>
      </c>
      <c r="B45" s="2" t="s">
        <v>223</v>
      </c>
      <c r="C45" s="2" t="s">
        <v>149</v>
      </c>
      <c r="D45" s="2">
        <v>52384</v>
      </c>
      <c r="E45" s="2">
        <v>46643</v>
      </c>
      <c r="F45" s="2">
        <v>57940</v>
      </c>
      <c r="G45" s="2">
        <v>54227</v>
      </c>
      <c r="H45" s="2">
        <v>35824</v>
      </c>
    </row>
    <row r="46" spans="1:8" ht="25.5">
      <c r="A46" s="2" t="s">
        <v>99</v>
      </c>
      <c r="B46" s="2" t="s">
        <v>67</v>
      </c>
      <c r="C46" s="2" t="s">
        <v>149</v>
      </c>
      <c r="D46" s="2">
        <v>23398</v>
      </c>
      <c r="E46" s="2">
        <v>25387</v>
      </c>
      <c r="F46" s="2">
        <v>28383</v>
      </c>
      <c r="G46" s="2">
        <v>31222</v>
      </c>
      <c r="H46" s="2">
        <v>35386</v>
      </c>
    </row>
    <row r="47" spans="1:8" ht="25.5">
      <c r="A47" s="2" t="s">
        <v>99</v>
      </c>
      <c r="B47" s="2" t="s">
        <v>49</v>
      </c>
      <c r="C47" s="2" t="s">
        <v>149</v>
      </c>
      <c r="D47" s="2">
        <v>23379</v>
      </c>
      <c r="E47" s="2">
        <v>25367</v>
      </c>
      <c r="F47" s="2">
        <v>28365</v>
      </c>
      <c r="G47" s="2">
        <v>31193</v>
      </c>
      <c r="H47" s="2">
        <v>35359</v>
      </c>
    </row>
    <row r="48" spans="1:8" ht="25.5">
      <c r="A48" s="2" t="s">
        <v>99</v>
      </c>
      <c r="B48" s="2" t="s">
        <v>193</v>
      </c>
      <c r="C48" s="2" t="s">
        <v>149</v>
      </c>
      <c r="D48" s="2">
        <v>44297</v>
      </c>
      <c r="E48" s="2">
        <v>34511</v>
      </c>
      <c r="F48" s="2">
        <v>42462</v>
      </c>
      <c r="G48" s="2">
        <v>40901</v>
      </c>
      <c r="H48" s="2">
        <v>34682</v>
      </c>
    </row>
    <row r="49" spans="1:8" ht="25.5">
      <c r="A49" s="2" t="s">
        <v>99</v>
      </c>
      <c r="B49" s="2" t="s">
        <v>207</v>
      </c>
      <c r="C49" s="2" t="s">
        <v>149</v>
      </c>
      <c r="D49" s="2">
        <v>27506</v>
      </c>
      <c r="E49" s="2">
        <v>29265</v>
      </c>
      <c r="F49" s="2">
        <v>27819</v>
      </c>
      <c r="G49" s="2">
        <v>32804</v>
      </c>
      <c r="H49" s="2">
        <v>27745</v>
      </c>
    </row>
    <row r="50" spans="1:8" ht="25.5">
      <c r="A50" s="2" t="s">
        <v>98</v>
      </c>
      <c r="B50" s="2" t="s">
        <v>158</v>
      </c>
      <c r="C50" s="2" t="s">
        <v>149</v>
      </c>
      <c r="D50" s="2">
        <v>101441</v>
      </c>
      <c r="E50" s="2">
        <v>75500</v>
      </c>
      <c r="F50" s="2">
        <v>62934</v>
      </c>
      <c r="G50" s="2">
        <v>36856</v>
      </c>
      <c r="H50" s="2">
        <v>27182</v>
      </c>
    </row>
    <row r="51" spans="1:8" ht="25.5">
      <c r="A51" s="2" t="s">
        <v>98</v>
      </c>
      <c r="B51" s="2" t="s">
        <v>159</v>
      </c>
      <c r="C51" s="2" t="s">
        <v>149</v>
      </c>
      <c r="D51" s="2">
        <v>29094</v>
      </c>
      <c r="E51" s="2">
        <v>30643</v>
      </c>
      <c r="F51" s="2">
        <v>25763</v>
      </c>
      <c r="G51" s="2">
        <v>24912</v>
      </c>
      <c r="H51" s="2">
        <v>26233</v>
      </c>
    </row>
    <row r="52" spans="1:8" ht="25.5">
      <c r="A52" s="2" t="s">
        <v>99</v>
      </c>
      <c r="B52" s="2" t="s">
        <v>221</v>
      </c>
      <c r="C52" s="2" t="s">
        <v>149</v>
      </c>
      <c r="D52" s="2">
        <v>21369</v>
      </c>
      <c r="E52" s="2">
        <v>21375</v>
      </c>
      <c r="F52" s="2">
        <v>21369</v>
      </c>
      <c r="G52" s="2">
        <v>21373</v>
      </c>
      <c r="H52" s="2">
        <v>21397</v>
      </c>
    </row>
    <row r="53" spans="1:8" ht="25.5">
      <c r="A53" s="2" t="s">
        <v>99</v>
      </c>
      <c r="B53" s="2" t="s">
        <v>68</v>
      </c>
      <c r="C53" s="2" t="s">
        <v>149</v>
      </c>
      <c r="D53" s="2">
        <v>21369</v>
      </c>
      <c r="E53" s="2">
        <v>21375</v>
      </c>
      <c r="F53" s="2">
        <v>21369</v>
      </c>
      <c r="G53" s="2">
        <v>21373</v>
      </c>
      <c r="H53" s="2">
        <v>21397</v>
      </c>
    </row>
    <row r="54" spans="1:8" ht="25.5">
      <c r="A54" s="2" t="s">
        <v>99</v>
      </c>
      <c r="B54" s="2" t="s">
        <v>215</v>
      </c>
      <c r="C54" s="2" t="s">
        <v>149</v>
      </c>
      <c r="D54" s="2">
        <v>21133</v>
      </c>
      <c r="E54" s="2">
        <v>21156</v>
      </c>
      <c r="F54" s="2">
        <v>21176</v>
      </c>
      <c r="G54" s="2">
        <v>21162</v>
      </c>
      <c r="H54" s="2">
        <v>21173</v>
      </c>
    </row>
    <row r="55" spans="1:8" ht="25.5">
      <c r="A55" s="2" t="s">
        <v>99</v>
      </c>
      <c r="B55" s="2" t="s">
        <v>222</v>
      </c>
      <c r="C55" s="2" t="s">
        <v>149</v>
      </c>
      <c r="D55" s="2">
        <v>19443</v>
      </c>
      <c r="E55" s="2">
        <v>19464</v>
      </c>
      <c r="F55" s="2">
        <v>19482</v>
      </c>
      <c r="G55" s="2">
        <v>19469</v>
      </c>
      <c r="H55" s="2">
        <v>19479</v>
      </c>
    </row>
    <row r="56" spans="1:8" ht="25.5">
      <c r="A56" s="2" t="s">
        <v>98</v>
      </c>
      <c r="B56" s="2" t="s">
        <v>163</v>
      </c>
      <c r="C56" s="2" t="s">
        <v>149</v>
      </c>
      <c r="D56" s="2">
        <v>15584</v>
      </c>
      <c r="E56" s="2">
        <v>16617</v>
      </c>
      <c r="F56" s="2">
        <v>15702</v>
      </c>
      <c r="G56" s="2">
        <v>16649</v>
      </c>
      <c r="H56" s="2">
        <v>16983</v>
      </c>
    </row>
    <row r="57" spans="1:8" ht="25.5">
      <c r="A57" s="2" t="s">
        <v>99</v>
      </c>
      <c r="B57" s="2" t="s">
        <v>184</v>
      </c>
      <c r="C57" s="2" t="s">
        <v>149</v>
      </c>
      <c r="D57" s="2">
        <v>28111</v>
      </c>
      <c r="E57" s="2">
        <v>25973</v>
      </c>
      <c r="F57" s="2">
        <v>30086</v>
      </c>
      <c r="G57" s="2">
        <v>24408</v>
      </c>
      <c r="H57" s="2">
        <v>15448</v>
      </c>
    </row>
    <row r="58" spans="1:8" ht="25.5">
      <c r="A58" s="2" t="s">
        <v>99</v>
      </c>
      <c r="B58" s="2" t="s">
        <v>206</v>
      </c>
      <c r="C58" s="2" t="s">
        <v>149</v>
      </c>
      <c r="D58" s="2">
        <v>34886</v>
      </c>
      <c r="E58" s="2">
        <v>27147</v>
      </c>
      <c r="F58" s="2">
        <v>25287</v>
      </c>
      <c r="G58" s="2">
        <v>17190</v>
      </c>
      <c r="H58" s="2">
        <v>14768</v>
      </c>
    </row>
    <row r="59" spans="1:8" ht="25.5">
      <c r="A59" s="2" t="s">
        <v>99</v>
      </c>
      <c r="B59" s="2" t="s">
        <v>55</v>
      </c>
      <c r="C59" s="2" t="s">
        <v>149</v>
      </c>
      <c r="D59" s="2">
        <v>8865</v>
      </c>
      <c r="E59" s="2">
        <v>9895</v>
      </c>
      <c r="F59" s="2">
        <v>10205</v>
      </c>
      <c r="G59" s="2">
        <v>9610</v>
      </c>
      <c r="H59" s="2">
        <v>9520</v>
      </c>
    </row>
    <row r="60" spans="1:8" ht="25.5">
      <c r="A60" s="2" t="s">
        <v>99</v>
      </c>
      <c r="B60" s="2" t="s">
        <v>61</v>
      </c>
      <c r="C60" s="2" t="s">
        <v>149</v>
      </c>
      <c r="D60" s="2">
        <v>8433</v>
      </c>
      <c r="E60" s="2">
        <v>9101</v>
      </c>
      <c r="F60" s="2">
        <v>9090</v>
      </c>
      <c r="G60" s="2">
        <v>8914</v>
      </c>
      <c r="H60" s="2">
        <v>9262</v>
      </c>
    </row>
    <row r="61" spans="1:8" ht="25.5">
      <c r="A61" s="2" t="s">
        <v>99</v>
      </c>
      <c r="B61" s="2" t="s">
        <v>195</v>
      </c>
      <c r="C61" s="2" t="s">
        <v>149</v>
      </c>
      <c r="D61" s="2">
        <v>6910</v>
      </c>
      <c r="E61" s="2">
        <v>7074</v>
      </c>
      <c r="F61" s="2">
        <v>7232</v>
      </c>
      <c r="G61" s="2">
        <v>7358</v>
      </c>
      <c r="H61" s="2">
        <v>7578</v>
      </c>
    </row>
    <row r="62" spans="1:8" ht="25.5">
      <c r="A62" s="2" t="s">
        <v>98</v>
      </c>
      <c r="B62" s="2" t="s">
        <v>168</v>
      </c>
      <c r="C62" s="2" t="s">
        <v>149</v>
      </c>
      <c r="D62" s="2">
        <v>6577</v>
      </c>
      <c r="E62" s="2">
        <v>7146</v>
      </c>
      <c r="F62" s="2">
        <v>8192</v>
      </c>
      <c r="G62" s="2">
        <v>6859</v>
      </c>
      <c r="H62" s="2">
        <v>6841</v>
      </c>
    </row>
    <row r="63" spans="1:8" ht="25.5">
      <c r="A63" s="2" t="s">
        <v>99</v>
      </c>
      <c r="B63" s="2" t="s">
        <v>50</v>
      </c>
      <c r="C63" s="2" t="s">
        <v>149</v>
      </c>
      <c r="D63" s="2">
        <v>3909</v>
      </c>
      <c r="E63" s="2">
        <v>4013</v>
      </c>
      <c r="F63" s="2">
        <v>3558</v>
      </c>
      <c r="G63" s="2">
        <v>4048</v>
      </c>
      <c r="H63" s="2">
        <v>4249</v>
      </c>
    </row>
    <row r="64" spans="1:8" ht="25.5">
      <c r="A64" s="2" t="s">
        <v>99</v>
      </c>
      <c r="B64" s="2" t="s">
        <v>212</v>
      </c>
      <c r="C64" s="2" t="s">
        <v>149</v>
      </c>
      <c r="D64" s="2">
        <v>4665</v>
      </c>
      <c r="E64" s="2">
        <v>4004</v>
      </c>
      <c r="F64" s="2">
        <v>3762</v>
      </c>
      <c r="G64" s="2">
        <v>3812</v>
      </c>
      <c r="H64" s="2">
        <v>3711</v>
      </c>
    </row>
    <row r="65" spans="1:8" ht="25.5">
      <c r="A65" s="2" t="s">
        <v>99</v>
      </c>
      <c r="B65" s="2" t="s">
        <v>182</v>
      </c>
      <c r="C65" s="2" t="s">
        <v>149</v>
      </c>
      <c r="D65" s="2">
        <v>2730</v>
      </c>
      <c r="E65" s="2">
        <v>2706</v>
      </c>
      <c r="F65" s="2">
        <v>2671</v>
      </c>
      <c r="G65" s="2">
        <v>2531</v>
      </c>
      <c r="H65" s="2">
        <v>2527</v>
      </c>
    </row>
    <row r="66" spans="1:8" ht="25.5">
      <c r="A66" s="2" t="s">
        <v>99</v>
      </c>
      <c r="B66" s="2" t="s">
        <v>214</v>
      </c>
      <c r="C66" s="2" t="s">
        <v>149</v>
      </c>
      <c r="D66" s="2">
        <v>1523</v>
      </c>
      <c r="E66" s="2">
        <v>2027</v>
      </c>
      <c r="F66" s="2">
        <v>1858</v>
      </c>
      <c r="G66" s="2">
        <v>1556</v>
      </c>
      <c r="H66" s="2">
        <v>1684</v>
      </c>
    </row>
    <row r="67" spans="1:8" ht="25.5">
      <c r="A67" s="2" t="s">
        <v>99</v>
      </c>
      <c r="B67" s="2" t="s">
        <v>180</v>
      </c>
      <c r="C67" s="2" t="s">
        <v>149</v>
      </c>
      <c r="D67" s="2">
        <v>611</v>
      </c>
      <c r="E67" s="2">
        <v>585</v>
      </c>
      <c r="F67" s="2">
        <v>598</v>
      </c>
      <c r="G67" s="2">
        <v>611</v>
      </c>
      <c r="H67" s="2">
        <v>591</v>
      </c>
    </row>
    <row r="68" spans="1:8" ht="25.5">
      <c r="A68" s="2" t="s">
        <v>99</v>
      </c>
      <c r="B68" s="2" t="s">
        <v>185</v>
      </c>
      <c r="C68" s="2" t="s">
        <v>149</v>
      </c>
      <c r="D68" s="2">
        <v>383</v>
      </c>
      <c r="E68" s="2">
        <v>326</v>
      </c>
      <c r="F68" s="2">
        <v>354</v>
      </c>
      <c r="G68" s="2">
        <v>281</v>
      </c>
      <c r="H68" s="2">
        <v>295</v>
      </c>
    </row>
    <row r="69" spans="1:8" ht="25.5">
      <c r="A69" s="2" t="s">
        <v>99</v>
      </c>
      <c r="B69" s="2" t="s">
        <v>208</v>
      </c>
      <c r="C69" s="2" t="s">
        <v>149</v>
      </c>
      <c r="D69" s="2">
        <v>258</v>
      </c>
      <c r="E69" s="2">
        <v>269</v>
      </c>
      <c r="F69" s="2">
        <v>285</v>
      </c>
      <c r="G69" s="2">
        <v>276</v>
      </c>
      <c r="H69" s="2">
        <v>287</v>
      </c>
    </row>
    <row r="70" spans="1:8" ht="25.5">
      <c r="A70" s="2" t="s">
        <v>99</v>
      </c>
      <c r="B70" s="2" t="s">
        <v>46</v>
      </c>
      <c r="C70" s="2" t="s">
        <v>149</v>
      </c>
      <c r="D70" s="2">
        <v>150</v>
      </c>
      <c r="E70" s="2">
        <v>128</v>
      </c>
      <c r="F70" s="2">
        <v>145</v>
      </c>
      <c r="G70" s="2">
        <v>134</v>
      </c>
      <c r="H70" s="2">
        <v>131</v>
      </c>
    </row>
    <row r="71" spans="1:8" ht="25.5">
      <c r="A71" s="2" t="s">
        <v>99</v>
      </c>
      <c r="B71" s="2" t="s">
        <v>48</v>
      </c>
      <c r="C71" s="2" t="s">
        <v>149</v>
      </c>
      <c r="D71" s="2">
        <v>121</v>
      </c>
      <c r="E71" s="2">
        <v>109</v>
      </c>
      <c r="F71" s="2">
        <v>113</v>
      </c>
      <c r="G71" s="2">
        <v>121</v>
      </c>
      <c r="H71" s="2">
        <v>124</v>
      </c>
    </row>
    <row r="72" spans="1:8" ht="25.5">
      <c r="A72" s="2" t="s">
        <v>99</v>
      </c>
      <c r="B72" s="2" t="s">
        <v>220</v>
      </c>
      <c r="C72" s="2" t="s">
        <v>149</v>
      </c>
      <c r="D72" s="2">
        <v>115</v>
      </c>
      <c r="E72" s="2">
        <v>110</v>
      </c>
      <c r="F72" s="2">
        <v>80</v>
      </c>
      <c r="G72" s="2">
        <v>90</v>
      </c>
      <c r="H72" s="2">
        <v>100</v>
      </c>
    </row>
    <row r="73" spans="1:8" ht="25.5">
      <c r="A73" s="2" t="s">
        <v>98</v>
      </c>
      <c r="B73" s="2" t="s">
        <v>167</v>
      </c>
      <c r="C73" s="2" t="s">
        <v>149</v>
      </c>
      <c r="D73" s="2">
        <v>84</v>
      </c>
      <c r="E73" s="2">
        <v>75</v>
      </c>
      <c r="F73" s="2">
        <v>74</v>
      </c>
      <c r="G73" s="2">
        <v>68</v>
      </c>
      <c r="H73" s="2">
        <v>67</v>
      </c>
    </row>
    <row r="74" spans="1:8" ht="25.5">
      <c r="A74" s="2" t="s">
        <v>99</v>
      </c>
      <c r="B74" s="2" t="s">
        <v>187</v>
      </c>
      <c r="C74" s="2" t="s">
        <v>149</v>
      </c>
      <c r="D74" s="2">
        <v>50</v>
      </c>
      <c r="E74" s="2">
        <v>52</v>
      </c>
      <c r="F74" s="2">
        <v>48</v>
      </c>
      <c r="G74" s="2">
        <v>50</v>
      </c>
      <c r="H74" s="2">
        <v>52</v>
      </c>
    </row>
    <row r="75" spans="1:8" ht="25.5">
      <c r="A75" s="2" t="s">
        <v>98</v>
      </c>
      <c r="B75" s="2" t="s">
        <v>164</v>
      </c>
      <c r="C75" s="2" t="s">
        <v>149</v>
      </c>
      <c r="D75" s="2">
        <v>19</v>
      </c>
      <c r="E75" s="2">
        <v>20</v>
      </c>
      <c r="F75" s="2">
        <v>18</v>
      </c>
      <c r="G75" s="2">
        <v>29</v>
      </c>
      <c r="H75" s="2">
        <v>27</v>
      </c>
    </row>
    <row r="76" spans="1:8" ht="25.5">
      <c r="A76" s="2" t="s">
        <v>98</v>
      </c>
      <c r="B76" s="2" t="s">
        <v>172</v>
      </c>
      <c r="C76" s="2" t="s">
        <v>149</v>
      </c>
      <c r="D76" s="2">
        <v>7</v>
      </c>
      <c r="E76" s="2">
        <v>8</v>
      </c>
      <c r="F76" s="2">
        <v>8</v>
      </c>
      <c r="G76" s="2">
        <v>8</v>
      </c>
      <c r="H76" s="2">
        <v>7</v>
      </c>
    </row>
  </sheetData>
  <printOptions/>
  <pageMargins left="0.787401575" right="0.787401575" top="1" bottom="1" header="0" footer="0"/>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topLeftCell="A1"/>
  </sheetViews>
  <sheetFormatPr defaultColWidth="11.00390625" defaultRowHeight="12.75"/>
  <cols>
    <col min="1" max="1" width="14.875" style="0" customWidth="1"/>
    <col min="2" max="2" width="21.00390625" style="0" customWidth="1"/>
    <col min="3" max="3" width="9.625" style="0" customWidth="1"/>
    <col min="4" max="4" width="8.125" style="0" customWidth="1"/>
    <col min="5" max="5" width="7.875" style="0" customWidth="1"/>
    <col min="6" max="6" width="8.00390625" style="0" customWidth="1"/>
    <col min="7" max="7" width="8.25390625" style="0" customWidth="1"/>
    <col min="8" max="8" width="8.375" style="0" customWidth="1"/>
  </cols>
  <sheetData>
    <row r="1" spans="1:8" ht="12.75">
      <c r="A1" s="3" t="s">
        <v>145</v>
      </c>
      <c r="B1" s="3" t="s">
        <v>146</v>
      </c>
      <c r="C1" s="3" t="s">
        <v>147</v>
      </c>
      <c r="D1" s="3">
        <v>2003</v>
      </c>
      <c r="E1" s="3">
        <v>2004</v>
      </c>
      <c r="F1" s="3">
        <v>2005</v>
      </c>
      <c r="G1" s="3">
        <v>2006</v>
      </c>
      <c r="H1" s="3">
        <v>2007</v>
      </c>
    </row>
    <row r="2" spans="1:8" ht="25.5">
      <c r="A2" s="2" t="s">
        <v>101</v>
      </c>
      <c r="B2" s="2" t="s">
        <v>57</v>
      </c>
      <c r="C2" s="2" t="s">
        <v>149</v>
      </c>
      <c r="D2" s="2">
        <v>11971172</v>
      </c>
      <c r="E2" s="2">
        <v>11654425</v>
      </c>
      <c r="F2" s="2">
        <v>12110524</v>
      </c>
      <c r="G2" s="2">
        <v>12344018</v>
      </c>
      <c r="H2" s="2">
        <v>13274808</v>
      </c>
    </row>
    <row r="3" spans="1:8" ht="25.5">
      <c r="A3" s="2" t="s">
        <v>101</v>
      </c>
      <c r="B3" s="2" t="s">
        <v>58</v>
      </c>
      <c r="C3" s="2" t="s">
        <v>149</v>
      </c>
      <c r="D3" s="2">
        <v>7870218</v>
      </c>
      <c r="E3" s="2">
        <v>8467528</v>
      </c>
      <c r="F3" s="2">
        <v>9196426</v>
      </c>
      <c r="G3" s="2">
        <v>10029655</v>
      </c>
      <c r="H3" s="2">
        <v>10730109</v>
      </c>
    </row>
    <row r="4" spans="1:8" ht="25.5">
      <c r="A4" s="2" t="s">
        <v>101</v>
      </c>
      <c r="B4" s="2" t="s">
        <v>203</v>
      </c>
      <c r="C4" s="2" t="s">
        <v>149</v>
      </c>
      <c r="D4" s="2">
        <v>7527239</v>
      </c>
      <c r="E4" s="2">
        <v>7157819</v>
      </c>
      <c r="F4" s="2">
        <v>7843661</v>
      </c>
      <c r="G4" s="2">
        <v>7985400</v>
      </c>
      <c r="H4" s="2">
        <v>8214299</v>
      </c>
    </row>
    <row r="5" spans="1:8" ht="25.5">
      <c r="A5" s="2" t="s">
        <v>101</v>
      </c>
      <c r="B5" s="2" t="s">
        <v>72</v>
      </c>
      <c r="C5" s="2" t="s">
        <v>149</v>
      </c>
      <c r="D5" s="2">
        <v>7462431</v>
      </c>
      <c r="E5" s="2">
        <v>6116357</v>
      </c>
      <c r="F5" s="2">
        <v>6873693</v>
      </c>
      <c r="G5" s="2">
        <v>7636229</v>
      </c>
      <c r="H5" s="2">
        <v>7917599</v>
      </c>
    </row>
    <row r="6" spans="1:8" ht="25.5">
      <c r="A6" s="2" t="s">
        <v>101</v>
      </c>
      <c r="B6" s="2" t="s">
        <v>62</v>
      </c>
      <c r="C6" s="2" t="s">
        <v>149</v>
      </c>
      <c r="D6" s="2">
        <v>5522995</v>
      </c>
      <c r="E6" s="2">
        <v>6461387</v>
      </c>
      <c r="F6" s="2">
        <v>6837030</v>
      </c>
      <c r="G6" s="2">
        <v>6893926</v>
      </c>
      <c r="H6" s="2">
        <v>6929718</v>
      </c>
    </row>
    <row r="7" spans="1:8" ht="25.5">
      <c r="A7" s="2" t="s">
        <v>101</v>
      </c>
      <c r="B7" s="2" t="s">
        <v>198</v>
      </c>
      <c r="C7" s="2" t="s">
        <v>149</v>
      </c>
      <c r="D7" s="2">
        <v>5129805</v>
      </c>
      <c r="E7" s="2">
        <v>6040412</v>
      </c>
      <c r="F7" s="2">
        <v>6341218</v>
      </c>
      <c r="G7" s="2">
        <v>6386599</v>
      </c>
      <c r="H7" s="2">
        <v>6403765</v>
      </c>
    </row>
    <row r="8" spans="1:8" ht="25.5">
      <c r="A8" s="2" t="s">
        <v>101</v>
      </c>
      <c r="B8" s="2" t="s">
        <v>219</v>
      </c>
      <c r="C8" s="2" t="s">
        <v>149</v>
      </c>
      <c r="D8" s="2">
        <v>4556453</v>
      </c>
      <c r="E8" s="2">
        <v>3748460</v>
      </c>
      <c r="F8" s="2">
        <v>3803936</v>
      </c>
      <c r="G8" s="2">
        <v>4464834</v>
      </c>
      <c r="H8" s="2">
        <v>5597775</v>
      </c>
    </row>
    <row r="9" spans="1:8" ht="25.5">
      <c r="A9" s="2" t="s">
        <v>101</v>
      </c>
      <c r="B9" s="2" t="s">
        <v>69</v>
      </c>
      <c r="C9" s="2" t="s">
        <v>149</v>
      </c>
      <c r="D9" s="2">
        <v>4556453</v>
      </c>
      <c r="E9" s="2">
        <v>3748460</v>
      </c>
      <c r="F9" s="2">
        <v>3803936</v>
      </c>
      <c r="G9" s="2">
        <v>4464834</v>
      </c>
      <c r="H9" s="2">
        <v>5597775</v>
      </c>
    </row>
    <row r="10" spans="1:8" ht="25.5">
      <c r="A10" s="2" t="s">
        <v>101</v>
      </c>
      <c r="B10" s="2" t="s">
        <v>202</v>
      </c>
      <c r="C10" s="2" t="s">
        <v>149</v>
      </c>
      <c r="D10" s="2">
        <v>5020668</v>
      </c>
      <c r="E10" s="2">
        <v>4774265</v>
      </c>
      <c r="F10" s="2">
        <v>5231722</v>
      </c>
      <c r="G10" s="2">
        <v>5326262</v>
      </c>
      <c r="H10" s="2">
        <v>5478937</v>
      </c>
    </row>
    <row r="11" spans="1:8" ht="25.5">
      <c r="A11" s="2" t="s">
        <v>101</v>
      </c>
      <c r="B11" s="2" t="s">
        <v>52</v>
      </c>
      <c r="C11" s="2" t="s">
        <v>149</v>
      </c>
      <c r="D11" s="2">
        <v>5659622</v>
      </c>
      <c r="E11" s="2">
        <v>4212269</v>
      </c>
      <c r="F11" s="2">
        <v>4714200</v>
      </c>
      <c r="G11" s="2">
        <v>5213328</v>
      </c>
      <c r="H11" s="2">
        <v>5450058</v>
      </c>
    </row>
    <row r="12" spans="1:8" ht="25.5">
      <c r="A12" s="2" t="s">
        <v>100</v>
      </c>
      <c r="B12" s="2" t="s">
        <v>151</v>
      </c>
      <c r="C12" s="2" t="s">
        <v>149</v>
      </c>
      <c r="D12" s="2">
        <v>2861928</v>
      </c>
      <c r="E12" s="2">
        <v>3445791</v>
      </c>
      <c r="F12" s="2">
        <v>3900555</v>
      </c>
      <c r="G12" s="2">
        <v>4318259</v>
      </c>
      <c r="H12" s="2">
        <v>4761591</v>
      </c>
    </row>
    <row r="13" spans="1:8" ht="25.5">
      <c r="A13" s="2" t="s">
        <v>101</v>
      </c>
      <c r="B13" s="2" t="s">
        <v>53</v>
      </c>
      <c r="C13" s="2" t="s">
        <v>149</v>
      </c>
      <c r="D13" s="2">
        <v>3483112</v>
      </c>
      <c r="E13" s="2">
        <v>3686232</v>
      </c>
      <c r="F13" s="2">
        <v>3612796</v>
      </c>
      <c r="G13" s="2">
        <v>3649755</v>
      </c>
      <c r="H13" s="2">
        <v>3850683</v>
      </c>
    </row>
    <row r="14" spans="1:8" ht="25.5">
      <c r="A14" s="2" t="s">
        <v>100</v>
      </c>
      <c r="B14" s="2" t="s">
        <v>169</v>
      </c>
      <c r="C14" s="2" t="s">
        <v>149</v>
      </c>
      <c r="D14" s="2">
        <v>3222969</v>
      </c>
      <c r="E14" s="2">
        <v>3060647</v>
      </c>
      <c r="F14" s="2">
        <v>3242734</v>
      </c>
      <c r="G14" s="2">
        <v>3499014</v>
      </c>
      <c r="H14" s="2">
        <v>3637967</v>
      </c>
    </row>
    <row r="15" spans="1:8" ht="25.5">
      <c r="A15" s="2" t="s">
        <v>101</v>
      </c>
      <c r="B15" s="2" t="s">
        <v>179</v>
      </c>
      <c r="C15" s="2" t="s">
        <v>149</v>
      </c>
      <c r="D15" s="2">
        <v>2032978</v>
      </c>
      <c r="E15" s="2">
        <v>1927818</v>
      </c>
      <c r="F15" s="2">
        <v>1980530</v>
      </c>
      <c r="G15" s="2">
        <v>2095389</v>
      </c>
      <c r="H15" s="2">
        <v>2588264</v>
      </c>
    </row>
    <row r="16" spans="1:8" ht="25.5">
      <c r="A16" s="2" t="s">
        <v>101</v>
      </c>
      <c r="B16" s="2" t="s">
        <v>59</v>
      </c>
      <c r="C16" s="2" t="s">
        <v>149</v>
      </c>
      <c r="D16" s="2">
        <v>1258941</v>
      </c>
      <c r="E16" s="2">
        <v>1340850</v>
      </c>
      <c r="F16" s="2">
        <v>1504368</v>
      </c>
      <c r="G16" s="2">
        <v>1616340</v>
      </c>
      <c r="H16" s="2">
        <v>1823947</v>
      </c>
    </row>
    <row r="17" spans="1:8" ht="25.5">
      <c r="A17" s="2" t="s">
        <v>101</v>
      </c>
      <c r="B17" s="2" t="s">
        <v>51</v>
      </c>
      <c r="C17" s="2" t="s">
        <v>149</v>
      </c>
      <c r="D17" s="2">
        <v>1222135</v>
      </c>
      <c r="E17" s="2">
        <v>1235533</v>
      </c>
      <c r="F17" s="2">
        <v>1381441</v>
      </c>
      <c r="G17" s="2">
        <v>1510810</v>
      </c>
      <c r="H17" s="2">
        <v>1528937</v>
      </c>
    </row>
    <row r="18" spans="1:8" ht="25.5">
      <c r="A18" s="2" t="s">
        <v>101</v>
      </c>
      <c r="B18" s="2" t="s">
        <v>204</v>
      </c>
      <c r="C18" s="2" t="s">
        <v>149</v>
      </c>
      <c r="D18" s="2">
        <v>1139317</v>
      </c>
      <c r="E18" s="2">
        <v>1329687</v>
      </c>
      <c r="F18" s="2">
        <v>1412338</v>
      </c>
      <c r="G18" s="2">
        <v>1425220</v>
      </c>
      <c r="H18" s="2">
        <v>1434239</v>
      </c>
    </row>
    <row r="19" spans="1:8" ht="25.5">
      <c r="A19" s="2" t="s">
        <v>101</v>
      </c>
      <c r="B19" s="2" t="s">
        <v>188</v>
      </c>
      <c r="C19" s="2" t="s">
        <v>149</v>
      </c>
      <c r="D19" s="2">
        <v>580674</v>
      </c>
      <c r="E19" s="2">
        <v>668555</v>
      </c>
      <c r="F19" s="2">
        <v>778052</v>
      </c>
      <c r="G19" s="2">
        <v>912091</v>
      </c>
      <c r="H19" s="2">
        <v>938604</v>
      </c>
    </row>
    <row r="20" spans="1:8" ht="25.5">
      <c r="A20" s="2" t="s">
        <v>101</v>
      </c>
      <c r="B20" s="2" t="s">
        <v>189</v>
      </c>
      <c r="C20" s="2" t="s">
        <v>149</v>
      </c>
      <c r="D20" s="2">
        <v>519951</v>
      </c>
      <c r="E20" s="2">
        <v>686537</v>
      </c>
      <c r="F20" s="2">
        <v>718751</v>
      </c>
      <c r="G20" s="2">
        <v>757343</v>
      </c>
      <c r="H20" s="2">
        <v>822096</v>
      </c>
    </row>
    <row r="21" spans="1:8" ht="25.5">
      <c r="A21" s="2" t="s">
        <v>101</v>
      </c>
      <c r="B21" s="2" t="s">
        <v>60</v>
      </c>
      <c r="C21" s="2" t="s">
        <v>149</v>
      </c>
      <c r="D21" s="2">
        <v>587924</v>
      </c>
      <c r="E21" s="2">
        <v>569558</v>
      </c>
      <c r="F21" s="2">
        <v>564083</v>
      </c>
      <c r="G21" s="2">
        <v>626259</v>
      </c>
      <c r="H21" s="2">
        <v>684206</v>
      </c>
    </row>
    <row r="22" spans="1:8" ht="25.5">
      <c r="A22" s="2" t="s">
        <v>101</v>
      </c>
      <c r="B22" s="2" t="s">
        <v>181</v>
      </c>
      <c r="C22" s="2" t="s">
        <v>149</v>
      </c>
      <c r="D22" s="2">
        <v>759135</v>
      </c>
      <c r="E22" s="2">
        <v>566982</v>
      </c>
      <c r="F22" s="2">
        <v>550961</v>
      </c>
      <c r="G22" s="2">
        <v>544680</v>
      </c>
      <c r="H22" s="2">
        <v>662635</v>
      </c>
    </row>
    <row r="23" spans="1:8" ht="25.5">
      <c r="A23" s="2" t="s">
        <v>100</v>
      </c>
      <c r="B23" s="2" t="s">
        <v>166</v>
      </c>
      <c r="C23" s="2" t="s">
        <v>149</v>
      </c>
      <c r="D23" s="2">
        <v>308656</v>
      </c>
      <c r="E23" s="2">
        <v>384554</v>
      </c>
      <c r="F23" s="2">
        <v>412195</v>
      </c>
      <c r="G23" s="2">
        <v>475465</v>
      </c>
      <c r="H23" s="2">
        <v>527918</v>
      </c>
    </row>
    <row r="24" spans="1:8" ht="25.5">
      <c r="A24" s="2" t="s">
        <v>101</v>
      </c>
      <c r="B24" s="2" t="s">
        <v>213</v>
      </c>
      <c r="C24" s="2" t="s">
        <v>149</v>
      </c>
      <c r="D24" s="2">
        <v>383375</v>
      </c>
      <c r="E24" s="2">
        <v>340971</v>
      </c>
      <c r="F24" s="2">
        <v>402715</v>
      </c>
      <c r="G24" s="2">
        <v>437564</v>
      </c>
      <c r="H24" s="2">
        <v>525026</v>
      </c>
    </row>
    <row r="25" spans="1:8" ht="25.5">
      <c r="A25" s="2" t="s">
        <v>101</v>
      </c>
      <c r="B25" s="2" t="s">
        <v>211</v>
      </c>
      <c r="C25" s="2" t="s">
        <v>149</v>
      </c>
      <c r="D25" s="2">
        <v>495152</v>
      </c>
      <c r="E25" s="2">
        <v>469294</v>
      </c>
      <c r="F25" s="2">
        <v>507036</v>
      </c>
      <c r="G25" s="2">
        <v>535208</v>
      </c>
      <c r="H25" s="2">
        <v>501132</v>
      </c>
    </row>
    <row r="26" spans="1:8" ht="25.5">
      <c r="A26" s="2" t="s">
        <v>100</v>
      </c>
      <c r="B26" s="2" t="s">
        <v>150</v>
      </c>
      <c r="C26" s="2" t="s">
        <v>149</v>
      </c>
      <c r="D26" s="2">
        <v>405737</v>
      </c>
      <c r="E26" s="2">
        <v>389833</v>
      </c>
      <c r="F26" s="2">
        <v>460929</v>
      </c>
      <c r="G26" s="2">
        <v>468268</v>
      </c>
      <c r="H26" s="2">
        <v>494387</v>
      </c>
    </row>
    <row r="27" spans="1:8" ht="25.5">
      <c r="A27" s="2" t="s">
        <v>100</v>
      </c>
      <c r="B27" s="2" t="s">
        <v>171</v>
      </c>
      <c r="C27" s="2" t="s">
        <v>149</v>
      </c>
      <c r="D27" s="2">
        <v>410102</v>
      </c>
      <c r="E27" s="2">
        <v>431654</v>
      </c>
      <c r="F27" s="2">
        <v>456707</v>
      </c>
      <c r="G27" s="2">
        <v>459122</v>
      </c>
      <c r="H27" s="2">
        <v>465671</v>
      </c>
    </row>
    <row r="28" spans="1:8" ht="25.5">
      <c r="A28" s="2" t="s">
        <v>100</v>
      </c>
      <c r="B28" s="2" t="s">
        <v>157</v>
      </c>
      <c r="C28" s="2" t="s">
        <v>149</v>
      </c>
      <c r="D28" s="2">
        <v>282698</v>
      </c>
      <c r="E28" s="2">
        <v>308520</v>
      </c>
      <c r="F28" s="2">
        <v>384300</v>
      </c>
      <c r="G28" s="2">
        <v>404049</v>
      </c>
      <c r="H28" s="2">
        <v>422611</v>
      </c>
    </row>
    <row r="29" spans="1:8" ht="25.5">
      <c r="A29" s="2" t="s">
        <v>101</v>
      </c>
      <c r="B29" s="2" t="s">
        <v>199</v>
      </c>
      <c r="C29" s="2" t="s">
        <v>149</v>
      </c>
      <c r="D29" s="2">
        <v>331095</v>
      </c>
      <c r="E29" s="2">
        <v>372382</v>
      </c>
      <c r="F29" s="2">
        <v>366126</v>
      </c>
      <c r="G29" s="2">
        <v>370913</v>
      </c>
      <c r="H29" s="2">
        <v>388783</v>
      </c>
    </row>
    <row r="30" spans="1:8" ht="25.5">
      <c r="A30" s="2" t="s">
        <v>100</v>
      </c>
      <c r="B30" s="2" t="s">
        <v>163</v>
      </c>
      <c r="C30" s="2" t="s">
        <v>149</v>
      </c>
      <c r="D30" s="2">
        <v>260659</v>
      </c>
      <c r="E30" s="2">
        <v>253193</v>
      </c>
      <c r="F30" s="2">
        <v>266652</v>
      </c>
      <c r="G30" s="2">
        <v>307458</v>
      </c>
      <c r="H30" s="2">
        <v>328580</v>
      </c>
    </row>
    <row r="31" spans="1:8" ht="25.5">
      <c r="A31" s="2" t="s">
        <v>101</v>
      </c>
      <c r="B31" s="2" t="s">
        <v>178</v>
      </c>
      <c r="C31" s="2" t="s">
        <v>149</v>
      </c>
      <c r="D31" s="2">
        <v>228315</v>
      </c>
      <c r="E31" s="2">
        <v>210597</v>
      </c>
      <c r="F31" s="2">
        <v>171446</v>
      </c>
      <c r="G31" s="2">
        <v>285109</v>
      </c>
      <c r="H31" s="2">
        <v>298661</v>
      </c>
    </row>
    <row r="32" spans="1:8" ht="25.5">
      <c r="A32" s="2" t="s">
        <v>101</v>
      </c>
      <c r="B32" s="2" t="s">
        <v>201</v>
      </c>
      <c r="C32" s="2" t="s">
        <v>149</v>
      </c>
      <c r="D32" s="2">
        <v>146674</v>
      </c>
      <c r="E32" s="2">
        <v>221880</v>
      </c>
      <c r="F32" s="2">
        <v>261367</v>
      </c>
      <c r="G32" s="2">
        <v>282699</v>
      </c>
      <c r="H32" s="2">
        <v>260391</v>
      </c>
    </row>
    <row r="33" spans="1:8" ht="25.5">
      <c r="A33" s="2" t="s">
        <v>100</v>
      </c>
      <c r="B33" s="2" t="s">
        <v>152</v>
      </c>
      <c r="C33" s="2" t="s">
        <v>149</v>
      </c>
      <c r="D33" s="2">
        <v>180127</v>
      </c>
      <c r="E33" s="2">
        <v>229833</v>
      </c>
      <c r="F33" s="2">
        <v>227479</v>
      </c>
      <c r="G33" s="2">
        <v>192725</v>
      </c>
      <c r="H33" s="2">
        <v>193157</v>
      </c>
    </row>
    <row r="34" spans="1:8" ht="25.5">
      <c r="A34" s="2" t="s">
        <v>100</v>
      </c>
      <c r="B34" s="2" t="s">
        <v>153</v>
      </c>
      <c r="C34" s="2" t="s">
        <v>149</v>
      </c>
      <c r="D34" s="2">
        <v>204631</v>
      </c>
      <c r="E34" s="2">
        <v>141833</v>
      </c>
      <c r="F34" s="2">
        <v>133490</v>
      </c>
      <c r="G34" s="2">
        <v>170661</v>
      </c>
      <c r="H34" s="2">
        <v>193156</v>
      </c>
    </row>
    <row r="35" spans="1:8" ht="25.5">
      <c r="A35" s="2" t="s">
        <v>100</v>
      </c>
      <c r="B35" s="2" t="s">
        <v>173</v>
      </c>
      <c r="C35" s="2" t="s">
        <v>149</v>
      </c>
      <c r="D35" s="2">
        <v>164630</v>
      </c>
      <c r="E35" s="2">
        <v>137220</v>
      </c>
      <c r="F35" s="2">
        <v>161642</v>
      </c>
      <c r="G35" s="2">
        <v>99117</v>
      </c>
      <c r="H35" s="2">
        <v>185751</v>
      </c>
    </row>
    <row r="36" spans="1:8" ht="25.5">
      <c r="A36" s="2" t="s">
        <v>100</v>
      </c>
      <c r="B36" s="2" t="s">
        <v>174</v>
      </c>
      <c r="C36" s="2" t="s">
        <v>149</v>
      </c>
      <c r="D36" s="2">
        <v>115241</v>
      </c>
      <c r="E36" s="2">
        <v>96054</v>
      </c>
      <c r="F36" s="2">
        <v>113149</v>
      </c>
      <c r="G36" s="2">
        <v>69382</v>
      </c>
      <c r="H36" s="2">
        <v>130026</v>
      </c>
    </row>
    <row r="37" spans="1:8" ht="25.5">
      <c r="A37" s="2" t="s">
        <v>100</v>
      </c>
      <c r="B37" s="2" t="s">
        <v>168</v>
      </c>
      <c r="C37" s="2" t="s">
        <v>149</v>
      </c>
      <c r="D37" s="2">
        <v>101855</v>
      </c>
      <c r="E37" s="2">
        <v>119169</v>
      </c>
      <c r="F37" s="2">
        <v>115023</v>
      </c>
      <c r="G37" s="2">
        <v>113921</v>
      </c>
      <c r="H37" s="2">
        <v>117319</v>
      </c>
    </row>
    <row r="38" spans="1:8" ht="25.5">
      <c r="A38" s="2" t="s">
        <v>101</v>
      </c>
      <c r="B38" s="2" t="s">
        <v>193</v>
      </c>
      <c r="C38" s="2" t="s">
        <v>149</v>
      </c>
      <c r="D38" s="2">
        <v>52198</v>
      </c>
      <c r="E38" s="2">
        <v>55343</v>
      </c>
      <c r="F38" s="2">
        <v>64467</v>
      </c>
      <c r="G38" s="2">
        <v>84685</v>
      </c>
      <c r="H38" s="2">
        <v>102267</v>
      </c>
    </row>
    <row r="39" spans="1:8" ht="25.5">
      <c r="A39" s="2" t="s">
        <v>101</v>
      </c>
      <c r="B39" s="2" t="s">
        <v>61</v>
      </c>
      <c r="C39" s="2" t="s">
        <v>149</v>
      </c>
      <c r="D39" s="2">
        <v>96437</v>
      </c>
      <c r="E39" s="2">
        <v>94698</v>
      </c>
      <c r="F39" s="2">
        <v>90471</v>
      </c>
      <c r="G39" s="2">
        <v>99754</v>
      </c>
      <c r="H39" s="2">
        <v>101370</v>
      </c>
    </row>
    <row r="40" spans="1:8" ht="25.5">
      <c r="A40" s="2" t="s">
        <v>101</v>
      </c>
      <c r="B40" s="2" t="s">
        <v>47</v>
      </c>
      <c r="C40" s="2" t="s">
        <v>149</v>
      </c>
      <c r="D40" s="2">
        <v>92378</v>
      </c>
      <c r="E40" s="2">
        <v>93542</v>
      </c>
      <c r="F40" s="2">
        <v>92688</v>
      </c>
      <c r="G40" s="2">
        <v>86684</v>
      </c>
      <c r="H40" s="2">
        <v>86766</v>
      </c>
    </row>
    <row r="41" spans="1:8" ht="25.5">
      <c r="A41" s="2" t="s">
        <v>101</v>
      </c>
      <c r="B41" s="2" t="s">
        <v>195</v>
      </c>
      <c r="C41" s="2" t="s">
        <v>149</v>
      </c>
      <c r="D41" s="2">
        <v>69289</v>
      </c>
      <c r="E41" s="2">
        <v>66503</v>
      </c>
      <c r="F41" s="2">
        <v>59526</v>
      </c>
      <c r="G41" s="2">
        <v>68614</v>
      </c>
      <c r="H41" s="2">
        <v>71371</v>
      </c>
    </row>
    <row r="42" spans="1:8" ht="25.5">
      <c r="A42" s="2" t="s">
        <v>101</v>
      </c>
      <c r="B42" s="2" t="s">
        <v>50</v>
      </c>
      <c r="C42" s="2" t="s">
        <v>149</v>
      </c>
      <c r="D42" s="2">
        <v>49103</v>
      </c>
      <c r="E42" s="2">
        <v>55081</v>
      </c>
      <c r="F42" s="2">
        <v>55025</v>
      </c>
      <c r="G42" s="2">
        <v>55347</v>
      </c>
      <c r="H42" s="2">
        <v>52093</v>
      </c>
    </row>
    <row r="43" spans="1:8" ht="25.5">
      <c r="A43" s="2" t="s">
        <v>101</v>
      </c>
      <c r="B43" s="2" t="s">
        <v>197</v>
      </c>
      <c r="C43" s="2" t="s">
        <v>149</v>
      </c>
      <c r="D43" s="2">
        <v>59000</v>
      </c>
      <c r="E43" s="2">
        <v>54000</v>
      </c>
      <c r="F43" s="2">
        <v>54528</v>
      </c>
      <c r="G43" s="2">
        <v>50448</v>
      </c>
      <c r="H43" s="2">
        <v>51872</v>
      </c>
    </row>
    <row r="44" spans="1:8" ht="25.5">
      <c r="A44" s="2" t="s">
        <v>101</v>
      </c>
      <c r="B44" s="2" t="s">
        <v>186</v>
      </c>
      <c r="C44" s="2" t="s">
        <v>149</v>
      </c>
      <c r="D44" s="2">
        <v>29026</v>
      </c>
      <c r="E44" s="2">
        <v>30198</v>
      </c>
      <c r="F44" s="2">
        <v>34224</v>
      </c>
      <c r="G44" s="2">
        <v>30791</v>
      </c>
      <c r="H44" s="2">
        <v>36783</v>
      </c>
    </row>
    <row r="45" spans="1:8" ht="25.5">
      <c r="A45" s="2" t="s">
        <v>101</v>
      </c>
      <c r="B45" s="2" t="s">
        <v>196</v>
      </c>
      <c r="C45" s="2" t="s">
        <v>149</v>
      </c>
      <c r="D45" s="2">
        <v>22752</v>
      </c>
      <c r="E45" s="2">
        <v>29934</v>
      </c>
      <c r="F45" s="2">
        <v>32255</v>
      </c>
      <c r="G45" s="2">
        <v>33958</v>
      </c>
      <c r="H45" s="2">
        <v>31831</v>
      </c>
    </row>
    <row r="46" spans="1:8" ht="25.5">
      <c r="A46" s="2" t="s">
        <v>100</v>
      </c>
      <c r="B46" s="2" t="s">
        <v>170</v>
      </c>
      <c r="C46" s="2" t="s">
        <v>149</v>
      </c>
      <c r="D46" s="2">
        <v>18807</v>
      </c>
      <c r="E46" s="2">
        <v>20365</v>
      </c>
      <c r="F46" s="2">
        <v>23492</v>
      </c>
      <c r="G46" s="2">
        <v>23913</v>
      </c>
      <c r="H46" s="2">
        <v>25912</v>
      </c>
    </row>
    <row r="47" spans="1:8" ht="25.5">
      <c r="A47" s="2" t="s">
        <v>101</v>
      </c>
      <c r="B47" s="2" t="s">
        <v>214</v>
      </c>
      <c r="C47" s="2" t="s">
        <v>149</v>
      </c>
      <c r="D47" s="2">
        <v>23219</v>
      </c>
      <c r="E47" s="2">
        <v>23751</v>
      </c>
      <c r="F47" s="2">
        <v>26351</v>
      </c>
      <c r="G47" s="2">
        <v>25650</v>
      </c>
      <c r="H47" s="2">
        <v>25884</v>
      </c>
    </row>
    <row r="48" spans="1:8" ht="25.5">
      <c r="A48" s="2" t="s">
        <v>101</v>
      </c>
      <c r="B48" s="2" t="s">
        <v>183</v>
      </c>
      <c r="C48" s="2" t="s">
        <v>149</v>
      </c>
      <c r="D48" s="2">
        <v>16847</v>
      </c>
      <c r="E48" s="2">
        <v>19784</v>
      </c>
      <c r="F48" s="2">
        <v>20711</v>
      </c>
      <c r="G48" s="2">
        <v>21372</v>
      </c>
      <c r="H48" s="2">
        <v>23432</v>
      </c>
    </row>
    <row r="49" spans="1:8" ht="25.5">
      <c r="A49" s="2" t="s">
        <v>101</v>
      </c>
      <c r="B49" s="2" t="s">
        <v>70</v>
      </c>
      <c r="C49" s="2" t="s">
        <v>149</v>
      </c>
      <c r="D49" s="2">
        <v>16847</v>
      </c>
      <c r="E49" s="2">
        <v>19784</v>
      </c>
      <c r="F49" s="2">
        <v>20711</v>
      </c>
      <c r="G49" s="2">
        <v>21372</v>
      </c>
      <c r="H49" s="2">
        <v>23432</v>
      </c>
    </row>
    <row r="50" spans="1:8" ht="25.5">
      <c r="A50" s="2" t="s">
        <v>100</v>
      </c>
      <c r="B50" s="2" t="s">
        <v>159</v>
      </c>
      <c r="C50" s="2" t="s">
        <v>149</v>
      </c>
      <c r="D50" s="2">
        <v>18802</v>
      </c>
      <c r="E50" s="2">
        <v>19001</v>
      </c>
      <c r="F50" s="2">
        <v>20006</v>
      </c>
      <c r="G50" s="2">
        <v>20300</v>
      </c>
      <c r="H50" s="2">
        <v>22802</v>
      </c>
    </row>
    <row r="51" spans="1:8" ht="25.5">
      <c r="A51" s="2" t="s">
        <v>101</v>
      </c>
      <c r="B51" s="2" t="s">
        <v>67</v>
      </c>
      <c r="C51" s="2" t="s">
        <v>149</v>
      </c>
      <c r="D51" s="2">
        <v>16064</v>
      </c>
      <c r="E51" s="2">
        <v>16946</v>
      </c>
      <c r="F51" s="2">
        <v>17674</v>
      </c>
      <c r="G51" s="2">
        <v>17616</v>
      </c>
      <c r="H51" s="2">
        <v>17819</v>
      </c>
    </row>
    <row r="52" spans="1:8" ht="25.5">
      <c r="A52" s="2" t="s">
        <v>101</v>
      </c>
      <c r="B52" s="2" t="s">
        <v>205</v>
      </c>
      <c r="C52" s="2" t="s">
        <v>149</v>
      </c>
      <c r="D52" s="2">
        <v>18114</v>
      </c>
      <c r="E52" s="2">
        <v>18913</v>
      </c>
      <c r="F52" s="2">
        <v>18824</v>
      </c>
      <c r="G52" s="2">
        <v>16594</v>
      </c>
      <c r="H52" s="2">
        <v>16576</v>
      </c>
    </row>
    <row r="53" spans="1:8" ht="25.5">
      <c r="A53" s="2" t="s">
        <v>101</v>
      </c>
      <c r="B53" s="2" t="s">
        <v>207</v>
      </c>
      <c r="C53" s="2" t="s">
        <v>149</v>
      </c>
      <c r="D53" s="2">
        <v>14046</v>
      </c>
      <c r="E53" s="2">
        <v>12745</v>
      </c>
      <c r="F53" s="2">
        <v>12764</v>
      </c>
      <c r="G53" s="2">
        <v>11698</v>
      </c>
      <c r="H53" s="2">
        <v>13928</v>
      </c>
    </row>
    <row r="54" spans="1:8" ht="25.5">
      <c r="A54" s="2" t="s">
        <v>101</v>
      </c>
      <c r="B54" s="2" t="s">
        <v>49</v>
      </c>
      <c r="C54" s="2" t="s">
        <v>149</v>
      </c>
      <c r="D54" s="2">
        <v>11808</v>
      </c>
      <c r="E54" s="2">
        <v>12569</v>
      </c>
      <c r="F54" s="2">
        <v>12961</v>
      </c>
      <c r="G54" s="2">
        <v>13213</v>
      </c>
      <c r="H54" s="2">
        <v>13102</v>
      </c>
    </row>
    <row r="55" spans="1:8" ht="25.5">
      <c r="A55" s="2" t="s">
        <v>100</v>
      </c>
      <c r="B55" s="2" t="s">
        <v>164</v>
      </c>
      <c r="C55" s="2" t="s">
        <v>149</v>
      </c>
      <c r="D55" s="2">
        <v>4256</v>
      </c>
      <c r="E55" s="2">
        <v>4377</v>
      </c>
      <c r="F55" s="2">
        <v>4713</v>
      </c>
      <c r="G55" s="2">
        <v>4403</v>
      </c>
      <c r="H55" s="2">
        <v>4717</v>
      </c>
    </row>
    <row r="56" spans="1:8" ht="25.5">
      <c r="A56" s="2" t="s">
        <v>101</v>
      </c>
      <c r="B56" s="2" t="s">
        <v>194</v>
      </c>
      <c r="C56" s="2" t="s">
        <v>149</v>
      </c>
      <c r="D56" s="2">
        <v>3929</v>
      </c>
      <c r="E56" s="2">
        <v>4444</v>
      </c>
      <c r="F56" s="2">
        <v>4594</v>
      </c>
      <c r="G56" s="2">
        <v>5490</v>
      </c>
      <c r="H56" s="2">
        <v>4115</v>
      </c>
    </row>
    <row r="57" spans="1:8" ht="25.5">
      <c r="A57" s="2" t="s">
        <v>101</v>
      </c>
      <c r="B57" s="2" t="s">
        <v>223</v>
      </c>
      <c r="C57" s="2" t="s">
        <v>149</v>
      </c>
      <c r="D57" s="2">
        <v>1264</v>
      </c>
      <c r="E57" s="2">
        <v>1255</v>
      </c>
      <c r="F57" s="2">
        <v>1302</v>
      </c>
      <c r="G57" s="2">
        <v>1283</v>
      </c>
      <c r="H57" s="2">
        <v>1295</v>
      </c>
    </row>
    <row r="58" spans="1:8" ht="25.5">
      <c r="A58" s="2" t="s">
        <v>100</v>
      </c>
      <c r="B58" s="2" t="s">
        <v>158</v>
      </c>
      <c r="C58" s="2" t="s">
        <v>149</v>
      </c>
      <c r="D58" s="2">
        <v>0</v>
      </c>
      <c r="E58" s="2">
        <v>0</v>
      </c>
      <c r="F58" s="2">
        <v>0</v>
      </c>
      <c r="G58" s="2">
        <v>0</v>
      </c>
      <c r="H58" s="2">
        <v>0</v>
      </c>
    </row>
  </sheetData>
  <printOptions/>
  <pageMargins left="0.787401575" right="0.787401575" top="1" bottom="1" header="0" footer="0"/>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workbookViewId="0" topLeftCell="A1"/>
  </sheetViews>
  <sheetFormatPr defaultColWidth="11.00390625" defaultRowHeight="12.75"/>
  <cols>
    <col min="1" max="1" width="20.375" style="0" customWidth="1"/>
    <col min="2" max="2" width="21.00390625" style="0" customWidth="1"/>
    <col min="3" max="3" width="9.625" style="0" customWidth="1"/>
    <col min="4" max="5" width="7.625" style="0" customWidth="1"/>
    <col min="6" max="6" width="8.875" style="0" customWidth="1"/>
    <col min="7" max="7" width="8.00390625" style="0" customWidth="1"/>
    <col min="8" max="8" width="8.375" style="0" customWidth="1"/>
  </cols>
  <sheetData>
    <row r="1" spans="1:8" ht="12.75">
      <c r="A1" s="3" t="s">
        <v>145</v>
      </c>
      <c r="B1" s="3" t="s">
        <v>146</v>
      </c>
      <c r="C1" s="3" t="s">
        <v>147</v>
      </c>
      <c r="D1" s="3">
        <v>2003</v>
      </c>
      <c r="E1" s="3">
        <v>2004</v>
      </c>
      <c r="F1" s="3">
        <v>2005</v>
      </c>
      <c r="G1" s="3">
        <v>2006</v>
      </c>
      <c r="H1" s="3">
        <v>2007</v>
      </c>
    </row>
    <row r="2" spans="1:8" ht="25.5">
      <c r="A2" s="2" t="s">
        <v>133</v>
      </c>
      <c r="B2" s="2" t="s">
        <v>203</v>
      </c>
      <c r="C2" s="2" t="s">
        <v>149</v>
      </c>
      <c r="D2" s="2">
        <v>12676127</v>
      </c>
      <c r="E2" s="2">
        <v>13225509</v>
      </c>
      <c r="F2" s="2">
        <v>13738540</v>
      </c>
      <c r="G2" s="2">
        <v>14131244</v>
      </c>
      <c r="H2" s="2">
        <v>14717882</v>
      </c>
    </row>
    <row r="3" spans="1:8" ht="25.5">
      <c r="A3" s="2" t="s">
        <v>133</v>
      </c>
      <c r="B3" s="2" t="s">
        <v>57</v>
      </c>
      <c r="C3" s="2" t="s">
        <v>149</v>
      </c>
      <c r="D3" s="2">
        <v>9778897</v>
      </c>
      <c r="E3" s="2">
        <v>10187610</v>
      </c>
      <c r="F3" s="2">
        <v>10606064</v>
      </c>
      <c r="G3" s="2">
        <v>10883089</v>
      </c>
      <c r="H3" s="2">
        <v>11381892</v>
      </c>
    </row>
    <row r="4" spans="1:8" ht="25.5">
      <c r="A4" s="2" t="s">
        <v>133</v>
      </c>
      <c r="B4" s="2" t="s">
        <v>202</v>
      </c>
      <c r="C4" s="2" t="s">
        <v>149</v>
      </c>
      <c r="D4" s="2">
        <v>8454977</v>
      </c>
      <c r="E4" s="2">
        <v>8821414</v>
      </c>
      <c r="F4" s="2">
        <v>9163606</v>
      </c>
      <c r="G4" s="2">
        <v>9425540</v>
      </c>
      <c r="H4" s="2">
        <v>9816827</v>
      </c>
    </row>
    <row r="5" spans="1:8" ht="25.5">
      <c r="A5" s="2" t="s">
        <v>133</v>
      </c>
      <c r="B5" s="2" t="s">
        <v>62</v>
      </c>
      <c r="C5" s="2" t="s">
        <v>149</v>
      </c>
      <c r="D5" s="2">
        <v>4194736</v>
      </c>
      <c r="E5" s="2">
        <v>4420498</v>
      </c>
      <c r="F5" s="2">
        <v>4232365</v>
      </c>
      <c r="G5" s="2">
        <v>4752278</v>
      </c>
      <c r="H5" s="2">
        <v>5003167</v>
      </c>
    </row>
    <row r="6" spans="1:8" ht="25.5">
      <c r="A6" s="2" t="s">
        <v>102</v>
      </c>
      <c r="B6" s="2" t="s">
        <v>157</v>
      </c>
      <c r="C6" s="2" t="s">
        <v>149</v>
      </c>
      <c r="D6" s="2">
        <v>3718073</v>
      </c>
      <c r="E6" s="2">
        <v>3953885</v>
      </c>
      <c r="F6" s="2">
        <v>3768010</v>
      </c>
      <c r="G6" s="2">
        <v>4288311</v>
      </c>
      <c r="H6" s="2">
        <v>4533381</v>
      </c>
    </row>
    <row r="7" spans="1:8" ht="25.5">
      <c r="A7" s="2" t="s">
        <v>133</v>
      </c>
      <c r="B7" s="2" t="s">
        <v>58</v>
      </c>
      <c r="C7" s="2" t="s">
        <v>149</v>
      </c>
      <c r="D7" s="2">
        <v>3444504</v>
      </c>
      <c r="E7" s="2">
        <v>3711524</v>
      </c>
      <c r="F7" s="2">
        <v>3814373</v>
      </c>
      <c r="G7" s="2">
        <v>4023961</v>
      </c>
      <c r="H7" s="2">
        <v>4165050</v>
      </c>
    </row>
    <row r="8" spans="1:8" ht="25.5">
      <c r="A8" s="2" t="s">
        <v>133</v>
      </c>
      <c r="B8" s="2" t="s">
        <v>219</v>
      </c>
      <c r="C8" s="2" t="s">
        <v>149</v>
      </c>
      <c r="D8" s="2">
        <v>2668795</v>
      </c>
      <c r="E8" s="2">
        <v>2738007</v>
      </c>
      <c r="F8" s="2">
        <v>2598182</v>
      </c>
      <c r="G8" s="2">
        <v>2809505</v>
      </c>
      <c r="H8" s="2">
        <v>2941751</v>
      </c>
    </row>
    <row r="9" spans="1:8" ht="25.5">
      <c r="A9" s="2" t="s">
        <v>133</v>
      </c>
      <c r="B9" s="2" t="s">
        <v>69</v>
      </c>
      <c r="C9" s="2" t="s">
        <v>149</v>
      </c>
      <c r="D9" s="2">
        <v>2668795</v>
      </c>
      <c r="E9" s="2">
        <v>2738007</v>
      </c>
      <c r="F9" s="2">
        <v>2598182</v>
      </c>
      <c r="G9" s="2">
        <v>2809505</v>
      </c>
      <c r="H9" s="2">
        <v>2941751</v>
      </c>
    </row>
    <row r="10" spans="1:8" ht="25.5">
      <c r="A10" s="2" t="s">
        <v>133</v>
      </c>
      <c r="B10" s="2" t="s">
        <v>72</v>
      </c>
      <c r="C10" s="2" t="s">
        <v>149</v>
      </c>
      <c r="D10" s="2">
        <v>2408447</v>
      </c>
      <c r="E10" s="2">
        <v>2438540</v>
      </c>
      <c r="F10" s="2">
        <v>2474536</v>
      </c>
      <c r="G10" s="2">
        <v>2520312</v>
      </c>
      <c r="H10" s="2">
        <v>2532923</v>
      </c>
    </row>
    <row r="11" spans="1:8" ht="25.5">
      <c r="A11" s="2" t="s">
        <v>133</v>
      </c>
      <c r="B11" s="2" t="s">
        <v>59</v>
      </c>
      <c r="C11" s="2" t="s">
        <v>149</v>
      </c>
      <c r="D11" s="2">
        <v>2108705</v>
      </c>
      <c r="E11" s="2">
        <v>2129379</v>
      </c>
      <c r="F11" s="2">
        <v>2326904</v>
      </c>
      <c r="G11" s="2">
        <v>2188134</v>
      </c>
      <c r="H11" s="2">
        <v>2404557</v>
      </c>
    </row>
    <row r="12" spans="1:8" ht="25.5">
      <c r="A12" s="2" t="s">
        <v>133</v>
      </c>
      <c r="B12" s="2" t="s">
        <v>52</v>
      </c>
      <c r="C12" s="2" t="s">
        <v>149</v>
      </c>
      <c r="D12" s="2">
        <v>2176416</v>
      </c>
      <c r="E12" s="2">
        <v>2200254</v>
      </c>
      <c r="F12" s="2">
        <v>2235765</v>
      </c>
      <c r="G12" s="2">
        <v>2276143</v>
      </c>
      <c r="H12" s="2">
        <v>2284583</v>
      </c>
    </row>
    <row r="13" spans="1:8" ht="25.5">
      <c r="A13" s="2" t="s">
        <v>102</v>
      </c>
      <c r="B13" s="2" t="s">
        <v>163</v>
      </c>
      <c r="C13" s="2" t="s">
        <v>149</v>
      </c>
      <c r="D13" s="2">
        <v>1745640</v>
      </c>
      <c r="E13" s="2">
        <v>1772510</v>
      </c>
      <c r="F13" s="2">
        <v>1956581</v>
      </c>
      <c r="G13" s="2">
        <v>1827086</v>
      </c>
      <c r="H13" s="2">
        <v>2070419</v>
      </c>
    </row>
    <row r="14" spans="1:8" ht="25.5">
      <c r="A14" s="2" t="s">
        <v>102</v>
      </c>
      <c r="B14" s="2" t="s">
        <v>151</v>
      </c>
      <c r="C14" s="2" t="s">
        <v>149</v>
      </c>
      <c r="D14" s="2">
        <v>1389094</v>
      </c>
      <c r="E14" s="2">
        <v>1528952</v>
      </c>
      <c r="F14" s="2">
        <v>1597898</v>
      </c>
      <c r="G14" s="2">
        <v>1635099</v>
      </c>
      <c r="H14" s="2">
        <v>1745335</v>
      </c>
    </row>
    <row r="15" spans="1:8" ht="25.5">
      <c r="A15" s="2" t="s">
        <v>133</v>
      </c>
      <c r="B15" s="2" t="s">
        <v>204</v>
      </c>
      <c r="C15" s="2" t="s">
        <v>149</v>
      </c>
      <c r="D15" s="2">
        <v>1231674</v>
      </c>
      <c r="E15" s="2">
        <v>1299375</v>
      </c>
      <c r="F15" s="2">
        <v>1242874</v>
      </c>
      <c r="G15" s="2">
        <v>1398972</v>
      </c>
      <c r="H15" s="2">
        <v>1473707</v>
      </c>
    </row>
    <row r="16" spans="1:8" ht="25.5">
      <c r="A16" s="2" t="s">
        <v>133</v>
      </c>
      <c r="B16" s="2" t="s">
        <v>169</v>
      </c>
      <c r="C16" s="2" t="s">
        <v>149</v>
      </c>
      <c r="D16" s="2">
        <v>1403229</v>
      </c>
      <c r="E16" s="2">
        <v>1427382</v>
      </c>
      <c r="F16" s="2">
        <v>1408343</v>
      </c>
      <c r="G16" s="2">
        <v>1469400</v>
      </c>
      <c r="H16" s="2">
        <v>1432220</v>
      </c>
    </row>
    <row r="17" spans="1:8" ht="25.5">
      <c r="A17" s="2" t="s">
        <v>133</v>
      </c>
      <c r="B17" s="2" t="s">
        <v>179</v>
      </c>
      <c r="C17" s="2" t="s">
        <v>149</v>
      </c>
      <c r="D17" s="2">
        <v>1206819</v>
      </c>
      <c r="E17" s="2">
        <v>1226799</v>
      </c>
      <c r="F17" s="2">
        <v>1290577</v>
      </c>
      <c r="G17" s="2">
        <v>1306002</v>
      </c>
      <c r="H17" s="2">
        <v>1410611</v>
      </c>
    </row>
    <row r="18" spans="1:8" ht="25.5">
      <c r="A18" s="2" t="s">
        <v>133</v>
      </c>
      <c r="B18" s="2" t="s">
        <v>196</v>
      </c>
      <c r="C18" s="2" t="s">
        <v>149</v>
      </c>
      <c r="D18" s="2">
        <v>350555</v>
      </c>
      <c r="E18" s="2">
        <v>378646</v>
      </c>
      <c r="F18" s="2">
        <v>404573</v>
      </c>
      <c r="G18" s="2">
        <v>484208</v>
      </c>
      <c r="H18" s="2">
        <v>544819</v>
      </c>
    </row>
    <row r="19" spans="1:8" ht="25.5">
      <c r="A19" s="2" t="s">
        <v>133</v>
      </c>
      <c r="B19" s="2" t="s">
        <v>189</v>
      </c>
      <c r="C19" s="2" t="s">
        <v>149</v>
      </c>
      <c r="D19" s="2">
        <v>199964</v>
      </c>
      <c r="E19" s="2">
        <v>266707</v>
      </c>
      <c r="F19" s="2">
        <v>284338</v>
      </c>
      <c r="G19" s="2">
        <v>319747</v>
      </c>
      <c r="H19" s="2">
        <v>325275</v>
      </c>
    </row>
    <row r="20" spans="1:8" ht="25.5">
      <c r="A20" s="2" t="s">
        <v>133</v>
      </c>
      <c r="B20" s="2" t="s">
        <v>47</v>
      </c>
      <c r="C20" s="2" t="s">
        <v>149</v>
      </c>
      <c r="D20" s="2">
        <v>333421</v>
      </c>
      <c r="E20" s="2">
        <v>316052</v>
      </c>
      <c r="F20" s="2">
        <v>310894</v>
      </c>
      <c r="G20" s="2">
        <v>310044</v>
      </c>
      <c r="H20" s="2">
        <v>310622</v>
      </c>
    </row>
    <row r="21" spans="1:8" ht="25.5">
      <c r="A21" s="2" t="s">
        <v>133</v>
      </c>
      <c r="B21" s="2" t="s">
        <v>213</v>
      </c>
      <c r="C21" s="2" t="s">
        <v>149</v>
      </c>
      <c r="D21" s="2">
        <v>207526</v>
      </c>
      <c r="E21" s="2">
        <v>193426</v>
      </c>
      <c r="F21" s="2">
        <v>205703</v>
      </c>
      <c r="G21" s="2">
        <v>192497</v>
      </c>
      <c r="H21" s="2">
        <v>211957</v>
      </c>
    </row>
    <row r="22" spans="1:8" ht="25.5">
      <c r="A22" s="2" t="s">
        <v>133</v>
      </c>
      <c r="B22" s="2" t="s">
        <v>60</v>
      </c>
      <c r="C22" s="2" t="s">
        <v>149</v>
      </c>
      <c r="D22" s="2">
        <v>156002</v>
      </c>
      <c r="E22" s="2">
        <v>154695</v>
      </c>
      <c r="F22" s="2">
        <v>171203</v>
      </c>
      <c r="G22" s="2">
        <v>189661</v>
      </c>
      <c r="H22" s="2">
        <v>189322</v>
      </c>
    </row>
    <row r="23" spans="1:8" ht="25.5">
      <c r="A23" s="2" t="s">
        <v>102</v>
      </c>
      <c r="B23" s="2" t="s">
        <v>153</v>
      </c>
      <c r="C23" s="2" t="s">
        <v>149</v>
      </c>
      <c r="D23" s="2">
        <v>140878</v>
      </c>
      <c r="E23" s="2">
        <v>138765</v>
      </c>
      <c r="F23" s="2">
        <v>155116</v>
      </c>
      <c r="G23" s="2">
        <v>172451</v>
      </c>
      <c r="H23" s="2">
        <v>171874</v>
      </c>
    </row>
    <row r="24" spans="1:8" ht="25.5">
      <c r="A24" s="2" t="s">
        <v>133</v>
      </c>
      <c r="B24" s="2" t="s">
        <v>188</v>
      </c>
      <c r="C24" s="2" t="s">
        <v>149</v>
      </c>
      <c r="D24" s="2">
        <v>144374</v>
      </c>
      <c r="E24" s="2">
        <v>151559</v>
      </c>
      <c r="F24" s="2">
        <v>149726</v>
      </c>
      <c r="G24" s="2">
        <v>155514</v>
      </c>
      <c r="H24" s="2">
        <v>157878</v>
      </c>
    </row>
    <row r="25" spans="1:8" ht="25.5">
      <c r="A25" s="2" t="s">
        <v>133</v>
      </c>
      <c r="B25" s="2" t="s">
        <v>173</v>
      </c>
      <c r="C25" s="2" t="s">
        <v>149</v>
      </c>
      <c r="D25" s="2">
        <v>188986</v>
      </c>
      <c r="E25" s="2">
        <v>203794</v>
      </c>
      <c r="F25" s="2">
        <v>206826</v>
      </c>
      <c r="G25" s="2">
        <v>213720</v>
      </c>
      <c r="H25" s="2">
        <v>147099</v>
      </c>
    </row>
    <row r="26" spans="1:8" ht="25.5">
      <c r="A26" s="2" t="s">
        <v>133</v>
      </c>
      <c r="B26" s="2" t="s">
        <v>53</v>
      </c>
      <c r="C26" s="2" t="s">
        <v>149</v>
      </c>
      <c r="D26" s="2">
        <v>104028</v>
      </c>
      <c r="E26" s="2">
        <v>125020</v>
      </c>
      <c r="F26" s="2">
        <v>136809</v>
      </c>
      <c r="G26" s="2">
        <v>140144</v>
      </c>
      <c r="H26" s="2">
        <v>142993</v>
      </c>
    </row>
    <row r="27" spans="1:8" ht="25.5">
      <c r="A27" s="2" t="s">
        <v>133</v>
      </c>
      <c r="B27" s="2" t="s">
        <v>198</v>
      </c>
      <c r="C27" s="2" t="s">
        <v>149</v>
      </c>
      <c r="D27" s="2">
        <v>122378</v>
      </c>
      <c r="E27" s="2">
        <v>129480</v>
      </c>
      <c r="F27" s="2">
        <v>131754</v>
      </c>
      <c r="G27" s="2">
        <v>129423</v>
      </c>
      <c r="H27" s="2">
        <v>134343</v>
      </c>
    </row>
    <row r="28" spans="1:8" ht="25.5">
      <c r="A28" s="2" t="s">
        <v>133</v>
      </c>
      <c r="B28" s="2" t="s">
        <v>71</v>
      </c>
      <c r="C28" s="2" t="s">
        <v>149</v>
      </c>
      <c r="D28" s="2">
        <v>89077</v>
      </c>
      <c r="E28" s="2">
        <v>92363</v>
      </c>
      <c r="F28" s="2">
        <v>100694</v>
      </c>
      <c r="G28" s="2">
        <v>108215</v>
      </c>
      <c r="H28" s="2">
        <v>103487</v>
      </c>
    </row>
    <row r="29" spans="1:8" ht="25.5">
      <c r="A29" s="2" t="s">
        <v>133</v>
      </c>
      <c r="B29" s="2" t="s">
        <v>174</v>
      </c>
      <c r="C29" s="2" t="s">
        <v>149</v>
      </c>
      <c r="D29" s="2">
        <v>132290</v>
      </c>
      <c r="E29" s="2">
        <v>142655</v>
      </c>
      <c r="F29" s="2">
        <v>144778</v>
      </c>
      <c r="G29" s="2">
        <v>149604</v>
      </c>
      <c r="H29" s="2">
        <v>102969</v>
      </c>
    </row>
    <row r="30" spans="1:8" ht="25.5">
      <c r="A30" s="2" t="s">
        <v>133</v>
      </c>
      <c r="B30" s="2" t="s">
        <v>197</v>
      </c>
      <c r="C30" s="2" t="s">
        <v>149</v>
      </c>
      <c r="D30" s="2">
        <v>82808</v>
      </c>
      <c r="E30" s="2">
        <v>90315</v>
      </c>
      <c r="F30" s="2">
        <v>97500</v>
      </c>
      <c r="G30" s="2">
        <v>93750</v>
      </c>
      <c r="H30" s="2">
        <v>94500</v>
      </c>
    </row>
    <row r="31" spans="1:8" ht="25.5">
      <c r="A31" s="2" t="s">
        <v>133</v>
      </c>
      <c r="B31" s="2" t="s">
        <v>51</v>
      </c>
      <c r="C31" s="2" t="s">
        <v>149</v>
      </c>
      <c r="D31" s="2">
        <v>87657</v>
      </c>
      <c r="E31" s="2">
        <v>86727</v>
      </c>
      <c r="F31" s="2">
        <v>89045</v>
      </c>
      <c r="G31" s="2">
        <v>88655</v>
      </c>
      <c r="H31" s="2">
        <v>90462</v>
      </c>
    </row>
    <row r="32" spans="1:8" ht="25.5">
      <c r="A32" s="2" t="s">
        <v>133</v>
      </c>
      <c r="B32" s="2" t="s">
        <v>190</v>
      </c>
      <c r="C32" s="2" t="s">
        <v>149</v>
      </c>
      <c r="D32" s="2">
        <v>71514</v>
      </c>
      <c r="E32" s="2">
        <v>73992</v>
      </c>
      <c r="F32" s="2">
        <v>80990</v>
      </c>
      <c r="G32" s="2">
        <v>86299</v>
      </c>
      <c r="H32" s="2">
        <v>81295</v>
      </c>
    </row>
    <row r="33" spans="1:8" ht="25.5">
      <c r="A33" s="2" t="s">
        <v>133</v>
      </c>
      <c r="B33" s="2" t="s">
        <v>67</v>
      </c>
      <c r="C33" s="2" t="s">
        <v>149</v>
      </c>
      <c r="D33" s="2">
        <v>37195</v>
      </c>
      <c r="E33" s="2">
        <v>36787</v>
      </c>
      <c r="F33" s="2">
        <v>36387</v>
      </c>
      <c r="G33" s="2">
        <v>37646</v>
      </c>
      <c r="H33" s="2">
        <v>39158</v>
      </c>
    </row>
    <row r="34" spans="1:8" ht="25.5">
      <c r="A34" s="2" t="s">
        <v>102</v>
      </c>
      <c r="B34" s="2" t="s">
        <v>164</v>
      </c>
      <c r="C34" s="2" t="s">
        <v>149</v>
      </c>
      <c r="D34" s="2">
        <v>33379</v>
      </c>
      <c r="E34" s="2">
        <v>32963</v>
      </c>
      <c r="F34" s="2">
        <v>32429</v>
      </c>
      <c r="G34" s="2">
        <v>34282</v>
      </c>
      <c r="H34" s="2">
        <v>35662</v>
      </c>
    </row>
    <row r="35" spans="1:8" ht="25.5">
      <c r="A35" s="2" t="s">
        <v>133</v>
      </c>
      <c r="B35" s="2" t="s">
        <v>205</v>
      </c>
      <c r="C35" s="2" t="s">
        <v>149</v>
      </c>
      <c r="D35" s="2">
        <v>19470</v>
      </c>
      <c r="E35" s="2">
        <v>19655</v>
      </c>
      <c r="F35" s="2">
        <v>20244</v>
      </c>
      <c r="G35" s="2">
        <v>22996</v>
      </c>
      <c r="H35" s="2">
        <v>23358</v>
      </c>
    </row>
    <row r="36" spans="1:8" ht="25.5">
      <c r="A36" s="2" t="s">
        <v>133</v>
      </c>
      <c r="B36" s="2" t="s">
        <v>191</v>
      </c>
      <c r="C36" s="2" t="s">
        <v>149</v>
      </c>
      <c r="D36" s="2">
        <v>17563</v>
      </c>
      <c r="E36" s="2">
        <v>18371</v>
      </c>
      <c r="F36" s="2">
        <v>19704</v>
      </c>
      <c r="G36" s="2">
        <v>21916</v>
      </c>
      <c r="H36" s="2">
        <v>22192</v>
      </c>
    </row>
    <row r="37" spans="1:8" ht="25.5">
      <c r="A37" s="2" t="s">
        <v>133</v>
      </c>
      <c r="B37" s="2" t="s">
        <v>61</v>
      </c>
      <c r="C37" s="2" t="s">
        <v>149</v>
      </c>
      <c r="D37" s="2">
        <v>17612</v>
      </c>
      <c r="E37" s="2">
        <v>16734</v>
      </c>
      <c r="F37" s="2">
        <v>17179</v>
      </c>
      <c r="G37" s="2">
        <v>16156</v>
      </c>
      <c r="H37" s="2">
        <v>16715</v>
      </c>
    </row>
    <row r="38" spans="1:8" ht="25.5">
      <c r="A38" s="2" t="s">
        <v>133</v>
      </c>
      <c r="B38" s="2" t="s">
        <v>199</v>
      </c>
      <c r="C38" s="2" t="s">
        <v>149</v>
      </c>
      <c r="D38" s="2">
        <v>13750</v>
      </c>
      <c r="E38" s="2">
        <v>14470</v>
      </c>
      <c r="F38" s="2">
        <v>14641</v>
      </c>
      <c r="G38" s="2">
        <v>15594</v>
      </c>
      <c r="H38" s="2">
        <v>15654</v>
      </c>
    </row>
    <row r="39" spans="1:8" ht="25.5">
      <c r="A39" s="2" t="s">
        <v>133</v>
      </c>
      <c r="B39" s="2" t="s">
        <v>186</v>
      </c>
      <c r="C39" s="2" t="s">
        <v>149</v>
      </c>
      <c r="D39" s="2">
        <v>15390</v>
      </c>
      <c r="E39" s="2">
        <v>10871</v>
      </c>
      <c r="F39" s="2">
        <v>10000</v>
      </c>
      <c r="G39" s="2">
        <v>10324</v>
      </c>
      <c r="H39" s="2">
        <v>10288</v>
      </c>
    </row>
    <row r="40" spans="1:8" ht="25.5">
      <c r="A40" s="2" t="s">
        <v>102</v>
      </c>
      <c r="B40" s="2" t="s">
        <v>150</v>
      </c>
      <c r="C40" s="2" t="s">
        <v>149</v>
      </c>
      <c r="D40" s="2">
        <v>7365</v>
      </c>
      <c r="E40" s="2">
        <v>8225</v>
      </c>
      <c r="F40" s="2">
        <v>9785</v>
      </c>
      <c r="G40" s="2">
        <v>9361</v>
      </c>
      <c r="H40" s="2">
        <v>9775</v>
      </c>
    </row>
    <row r="41" spans="1:8" ht="25.5">
      <c r="A41" s="2" t="s">
        <v>133</v>
      </c>
      <c r="B41" s="2" t="s">
        <v>50</v>
      </c>
      <c r="C41" s="2" t="s">
        <v>149</v>
      </c>
      <c r="D41" s="2">
        <v>7620</v>
      </c>
      <c r="E41" s="2">
        <v>9184</v>
      </c>
      <c r="F41" s="2">
        <v>9400</v>
      </c>
      <c r="G41" s="2">
        <v>8069</v>
      </c>
      <c r="H41" s="2">
        <v>9438</v>
      </c>
    </row>
    <row r="42" spans="1:8" ht="25.5">
      <c r="A42" s="2" t="s">
        <v>133</v>
      </c>
      <c r="B42" s="2" t="s">
        <v>195</v>
      </c>
      <c r="C42" s="2" t="s">
        <v>149</v>
      </c>
      <c r="D42" s="2">
        <v>7760</v>
      </c>
      <c r="E42" s="2">
        <v>8207</v>
      </c>
      <c r="F42" s="2">
        <v>8386</v>
      </c>
      <c r="G42" s="2">
        <v>8623</v>
      </c>
      <c r="H42" s="2">
        <v>9222</v>
      </c>
    </row>
    <row r="43" spans="1:8" ht="25.5">
      <c r="A43" s="2" t="s">
        <v>133</v>
      </c>
      <c r="B43" s="2" t="s">
        <v>181</v>
      </c>
      <c r="C43" s="2" t="s">
        <v>149</v>
      </c>
      <c r="D43" s="2">
        <v>8811</v>
      </c>
      <c r="E43" s="2">
        <v>10227</v>
      </c>
      <c r="F43" s="2">
        <v>10250</v>
      </c>
      <c r="G43" s="2">
        <v>8150</v>
      </c>
      <c r="H43" s="2">
        <v>8300</v>
      </c>
    </row>
    <row r="44" spans="1:8" ht="25.5">
      <c r="A44" s="2" t="s">
        <v>133</v>
      </c>
      <c r="B44" s="2" t="s">
        <v>171</v>
      </c>
      <c r="C44" s="2" t="s">
        <v>149</v>
      </c>
      <c r="D44" s="2">
        <v>4266</v>
      </c>
      <c r="E44" s="2">
        <v>4007</v>
      </c>
      <c r="F44" s="2">
        <v>4576</v>
      </c>
      <c r="G44" s="2">
        <v>4933</v>
      </c>
      <c r="H44" s="2">
        <v>5660</v>
      </c>
    </row>
    <row r="45" spans="1:8" ht="25.5">
      <c r="A45" s="2" t="s">
        <v>133</v>
      </c>
      <c r="B45" s="2" t="s">
        <v>178</v>
      </c>
      <c r="C45" s="2" t="s">
        <v>149</v>
      </c>
      <c r="D45" s="2">
        <v>5190</v>
      </c>
      <c r="E45" s="2">
        <v>5198</v>
      </c>
      <c r="F45" s="2">
        <v>5220</v>
      </c>
      <c r="G45" s="2">
        <v>5233</v>
      </c>
      <c r="H45" s="2">
        <v>5270</v>
      </c>
    </row>
    <row r="46" spans="1:8" ht="25.5">
      <c r="A46" s="2" t="s">
        <v>102</v>
      </c>
      <c r="B46" s="2" t="s">
        <v>166</v>
      </c>
      <c r="C46" s="2" t="s">
        <v>149</v>
      </c>
      <c r="D46" s="2">
        <v>4369</v>
      </c>
      <c r="E46" s="2">
        <v>5014</v>
      </c>
      <c r="F46" s="2">
        <v>4696</v>
      </c>
      <c r="G46" s="2">
        <v>4514</v>
      </c>
      <c r="H46" s="2">
        <v>4604</v>
      </c>
    </row>
    <row r="47" spans="1:8" ht="25.5">
      <c r="A47" s="2" t="s">
        <v>102</v>
      </c>
      <c r="B47" s="2" t="s">
        <v>160</v>
      </c>
      <c r="C47" s="2" t="s">
        <v>149</v>
      </c>
      <c r="D47" s="2">
        <v>5829</v>
      </c>
      <c r="E47" s="2">
        <v>3692</v>
      </c>
      <c r="F47" s="2">
        <v>3918</v>
      </c>
      <c r="G47" s="2">
        <v>3101</v>
      </c>
      <c r="H47" s="2">
        <v>4020</v>
      </c>
    </row>
    <row r="48" spans="1:8" ht="25.5">
      <c r="A48" s="2" t="s">
        <v>133</v>
      </c>
      <c r="B48" s="2" t="s">
        <v>207</v>
      </c>
      <c r="C48" s="2" t="s">
        <v>149</v>
      </c>
      <c r="D48" s="2">
        <v>3094</v>
      </c>
      <c r="E48" s="2">
        <v>4413</v>
      </c>
      <c r="F48" s="2">
        <v>4720</v>
      </c>
      <c r="G48" s="2">
        <v>3604</v>
      </c>
      <c r="H48" s="2">
        <v>3770</v>
      </c>
    </row>
    <row r="49" spans="1:8" ht="25.5">
      <c r="A49" s="2" t="s">
        <v>133</v>
      </c>
      <c r="B49" s="2" t="s">
        <v>49</v>
      </c>
      <c r="C49" s="2" t="s">
        <v>149</v>
      </c>
      <c r="D49" s="2">
        <v>3644</v>
      </c>
      <c r="E49" s="2">
        <v>3685</v>
      </c>
      <c r="F49" s="2">
        <v>3842</v>
      </c>
      <c r="G49" s="2">
        <v>3253</v>
      </c>
      <c r="H49" s="2">
        <v>3390</v>
      </c>
    </row>
    <row r="50" spans="1:8" ht="25.5">
      <c r="A50" s="2" t="s">
        <v>133</v>
      </c>
      <c r="B50" s="2" t="s">
        <v>183</v>
      </c>
      <c r="C50" s="2" t="s">
        <v>149</v>
      </c>
      <c r="D50" s="2">
        <v>2538</v>
      </c>
      <c r="E50" s="2">
        <v>2564</v>
      </c>
      <c r="F50" s="2">
        <v>2585</v>
      </c>
      <c r="G50" s="2">
        <v>2876</v>
      </c>
      <c r="H50" s="2">
        <v>3075</v>
      </c>
    </row>
    <row r="51" spans="1:8" ht="25.5">
      <c r="A51" s="2" t="s">
        <v>133</v>
      </c>
      <c r="B51" s="2" t="s">
        <v>70</v>
      </c>
      <c r="C51" s="2" t="s">
        <v>149</v>
      </c>
      <c r="D51" s="2">
        <v>2538</v>
      </c>
      <c r="E51" s="2">
        <v>2564</v>
      </c>
      <c r="F51" s="2">
        <v>2585</v>
      </c>
      <c r="G51" s="2">
        <v>2876</v>
      </c>
      <c r="H51" s="2">
        <v>3075</v>
      </c>
    </row>
    <row r="52" spans="1:8" ht="25.5">
      <c r="A52" s="2" t="s">
        <v>102</v>
      </c>
      <c r="B52" s="2" t="s">
        <v>156</v>
      </c>
      <c r="C52" s="2" t="s">
        <v>149</v>
      </c>
      <c r="D52" s="2">
        <v>1695</v>
      </c>
      <c r="E52" s="2">
        <v>2032</v>
      </c>
      <c r="F52" s="2">
        <v>2987</v>
      </c>
      <c r="G52" s="2">
        <v>2312</v>
      </c>
      <c r="H52" s="2">
        <v>2530</v>
      </c>
    </row>
    <row r="53" spans="1:8" ht="25.5">
      <c r="A53" s="2" t="s">
        <v>133</v>
      </c>
      <c r="B53" s="2" t="s">
        <v>194</v>
      </c>
      <c r="C53" s="2" t="s">
        <v>149</v>
      </c>
      <c r="D53" s="2">
        <v>2726</v>
      </c>
      <c r="E53" s="2">
        <v>2841</v>
      </c>
      <c r="F53" s="2">
        <v>2854</v>
      </c>
      <c r="G53" s="2">
        <v>2357</v>
      </c>
      <c r="H53" s="2">
        <v>2266</v>
      </c>
    </row>
    <row r="54" spans="1:8" ht="25.5">
      <c r="A54" s="2" t="s">
        <v>133</v>
      </c>
      <c r="B54" s="2" t="s">
        <v>170</v>
      </c>
      <c r="C54" s="2" t="s">
        <v>149</v>
      </c>
      <c r="D54" s="2">
        <v>1726</v>
      </c>
      <c r="E54" s="2">
        <v>1785</v>
      </c>
      <c r="F54" s="2">
        <v>1815</v>
      </c>
      <c r="G54" s="2">
        <v>1829</v>
      </c>
      <c r="H54" s="2">
        <v>1864</v>
      </c>
    </row>
    <row r="55" spans="1:8" ht="25.5">
      <c r="A55" s="2" t="s">
        <v>133</v>
      </c>
      <c r="B55" s="2" t="s">
        <v>210</v>
      </c>
      <c r="C55" s="2" t="s">
        <v>149</v>
      </c>
      <c r="D55" s="2">
        <v>1800</v>
      </c>
      <c r="E55" s="2">
        <v>1800</v>
      </c>
      <c r="F55" s="2">
        <v>1800</v>
      </c>
      <c r="G55" s="2">
        <v>1800</v>
      </c>
      <c r="H55" s="2">
        <v>1800</v>
      </c>
    </row>
    <row r="56" spans="1:8" ht="25.5">
      <c r="A56" s="2" t="s">
        <v>133</v>
      </c>
      <c r="B56" s="2" t="s">
        <v>193</v>
      </c>
      <c r="C56" s="2" t="s">
        <v>149</v>
      </c>
      <c r="D56" s="2">
        <v>1374</v>
      </c>
      <c r="E56" s="2">
        <v>1460</v>
      </c>
      <c r="F56" s="2">
        <v>1446</v>
      </c>
      <c r="G56" s="2">
        <v>1616</v>
      </c>
      <c r="H56" s="2">
        <v>1794</v>
      </c>
    </row>
    <row r="57" spans="1:8" ht="25.5">
      <c r="A57" s="2" t="s">
        <v>133</v>
      </c>
      <c r="B57" s="2" t="s">
        <v>211</v>
      </c>
      <c r="C57" s="2" t="s">
        <v>149</v>
      </c>
      <c r="D57" s="2">
        <v>2893</v>
      </c>
      <c r="E57" s="2">
        <v>2806</v>
      </c>
      <c r="F57" s="2">
        <v>2868</v>
      </c>
      <c r="G57" s="2">
        <v>1615</v>
      </c>
      <c r="H57" s="2">
        <v>1707</v>
      </c>
    </row>
    <row r="58" spans="1:8" ht="25.5">
      <c r="A58" s="2" t="s">
        <v>133</v>
      </c>
      <c r="B58" s="2" t="s">
        <v>55</v>
      </c>
      <c r="C58" s="2" t="s">
        <v>149</v>
      </c>
      <c r="D58" s="2">
        <v>1394</v>
      </c>
      <c r="E58" s="2">
        <v>1426</v>
      </c>
      <c r="F58" s="2">
        <v>1463</v>
      </c>
      <c r="G58" s="2">
        <v>1504</v>
      </c>
      <c r="H58" s="2">
        <v>1463</v>
      </c>
    </row>
    <row r="59" spans="1:8" ht="25.5">
      <c r="A59" s="2" t="s">
        <v>133</v>
      </c>
      <c r="B59" s="2" t="s">
        <v>177</v>
      </c>
      <c r="C59" s="2" t="s">
        <v>149</v>
      </c>
      <c r="D59" s="2">
        <v>1799</v>
      </c>
      <c r="E59" s="2">
        <v>1250</v>
      </c>
      <c r="F59" s="2">
        <v>1300</v>
      </c>
      <c r="G59" s="2">
        <v>1300</v>
      </c>
      <c r="H59" s="2">
        <v>1300</v>
      </c>
    </row>
    <row r="60" spans="1:8" ht="25.5">
      <c r="A60" s="2" t="s">
        <v>133</v>
      </c>
      <c r="B60" s="2" t="s">
        <v>214</v>
      </c>
      <c r="C60" s="2" t="s">
        <v>149</v>
      </c>
      <c r="D60" s="2">
        <v>1297</v>
      </c>
      <c r="E60" s="2">
        <v>1994</v>
      </c>
      <c r="F60" s="2">
        <v>2021</v>
      </c>
      <c r="G60" s="2">
        <v>2075</v>
      </c>
      <c r="H60" s="2">
        <v>1207</v>
      </c>
    </row>
    <row r="61" spans="1:8" ht="25.5">
      <c r="A61" s="2" t="s">
        <v>102</v>
      </c>
      <c r="B61" s="2" t="s">
        <v>152</v>
      </c>
      <c r="C61" s="2" t="s">
        <v>149</v>
      </c>
      <c r="D61" s="2">
        <v>670</v>
      </c>
      <c r="E61" s="2">
        <v>743</v>
      </c>
      <c r="F61" s="2">
        <v>1353</v>
      </c>
      <c r="G61" s="2">
        <v>988</v>
      </c>
      <c r="H61" s="2">
        <v>854</v>
      </c>
    </row>
    <row r="62" spans="1:8" ht="25.5">
      <c r="A62" s="2" t="s">
        <v>133</v>
      </c>
      <c r="B62" s="2" t="s">
        <v>176</v>
      </c>
      <c r="C62" s="2" t="s">
        <v>149</v>
      </c>
      <c r="D62" s="2">
        <v>1251</v>
      </c>
      <c r="E62" s="2">
        <v>677</v>
      </c>
      <c r="F62" s="2">
        <v>339</v>
      </c>
      <c r="G62" s="2">
        <v>618</v>
      </c>
      <c r="H62" s="2">
        <v>850</v>
      </c>
    </row>
    <row r="63" spans="1:8" ht="25.5">
      <c r="A63" s="2" t="s">
        <v>102</v>
      </c>
      <c r="B63" s="2" t="s">
        <v>158</v>
      </c>
      <c r="C63" s="2" t="s">
        <v>149</v>
      </c>
      <c r="D63" s="2">
        <v>700</v>
      </c>
      <c r="E63" s="2">
        <v>600</v>
      </c>
      <c r="F63" s="2">
        <v>600</v>
      </c>
      <c r="G63" s="2">
        <v>650</v>
      </c>
      <c r="H63" s="2">
        <v>600</v>
      </c>
    </row>
    <row r="64" spans="1:8" ht="25.5">
      <c r="A64" s="2" t="s">
        <v>133</v>
      </c>
      <c r="B64" s="2" t="s">
        <v>201</v>
      </c>
      <c r="C64" s="2" t="s">
        <v>149</v>
      </c>
      <c r="D64" s="2">
        <v>396</v>
      </c>
      <c r="E64" s="2">
        <v>490</v>
      </c>
      <c r="F64" s="2">
        <v>426</v>
      </c>
      <c r="G64" s="2">
        <v>505</v>
      </c>
      <c r="H64" s="2">
        <v>550</v>
      </c>
    </row>
    <row r="65" spans="1:8" ht="25.5">
      <c r="A65" s="2" t="s">
        <v>102</v>
      </c>
      <c r="B65" s="2" t="s">
        <v>159</v>
      </c>
      <c r="C65" s="2" t="s">
        <v>149</v>
      </c>
      <c r="D65" s="2">
        <v>301</v>
      </c>
      <c r="E65" s="2">
        <v>302</v>
      </c>
      <c r="F65" s="2">
        <v>311</v>
      </c>
      <c r="G65" s="2">
        <v>399</v>
      </c>
      <c r="H65" s="2">
        <v>328</v>
      </c>
    </row>
    <row r="66" spans="1:8" ht="25.5">
      <c r="A66" s="2" t="s">
        <v>102</v>
      </c>
      <c r="B66" s="2" t="s">
        <v>161</v>
      </c>
      <c r="C66" s="2" t="s">
        <v>149</v>
      </c>
      <c r="D66" s="2">
        <v>172</v>
      </c>
      <c r="E66" s="2">
        <v>139</v>
      </c>
      <c r="F66" s="2">
        <v>116</v>
      </c>
      <c r="G66" s="2">
        <v>111</v>
      </c>
      <c r="H66" s="2">
        <v>106</v>
      </c>
    </row>
    <row r="67" spans="1:8" ht="25.5">
      <c r="A67" s="2" t="s">
        <v>102</v>
      </c>
      <c r="B67" s="2" t="s">
        <v>168</v>
      </c>
      <c r="C67" s="2" t="s">
        <v>149</v>
      </c>
      <c r="D67" s="2">
        <v>6</v>
      </c>
      <c r="E67" s="2">
        <v>5</v>
      </c>
      <c r="F67" s="2">
        <v>14</v>
      </c>
      <c r="G67" s="2">
        <v>2</v>
      </c>
      <c r="H67" s="2">
        <v>4</v>
      </c>
    </row>
    <row r="68" spans="1:8" ht="25.5">
      <c r="A68" s="2" t="s">
        <v>133</v>
      </c>
      <c r="B68" s="2" t="s">
        <v>192</v>
      </c>
      <c r="C68" s="2" t="s">
        <v>149</v>
      </c>
      <c r="D68" s="2">
        <v>0</v>
      </c>
      <c r="E68" s="2">
        <v>0</v>
      </c>
      <c r="F68" s="2">
        <v>0</v>
      </c>
      <c r="G68" s="2">
        <v>0</v>
      </c>
      <c r="H68" s="2">
        <v>0</v>
      </c>
    </row>
  </sheetData>
  <printOptions/>
  <pageMargins left="0.787401575" right="0.787401575" top="1" bottom="1" header="0" footer="0"/>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topLeftCell="A1"/>
  </sheetViews>
  <sheetFormatPr defaultColWidth="11.00390625" defaultRowHeight="12.75"/>
  <cols>
    <col min="1" max="1" width="16.25390625" style="0" customWidth="1"/>
    <col min="2" max="2" width="21.00390625" style="0" customWidth="1"/>
    <col min="3" max="3" width="9.625" style="0" customWidth="1"/>
    <col min="4" max="4" width="8.125" style="0" customWidth="1"/>
    <col min="5" max="5" width="7.875" style="0" customWidth="1"/>
    <col min="6" max="6" width="7.625" style="0" customWidth="1"/>
    <col min="7" max="8" width="8.00390625" style="0" customWidth="1"/>
  </cols>
  <sheetData>
    <row r="1" spans="1:8" ht="12.75">
      <c r="A1" s="3" t="s">
        <v>145</v>
      </c>
      <c r="B1" s="3" t="s">
        <v>146</v>
      </c>
      <c r="C1" s="3" t="s">
        <v>147</v>
      </c>
      <c r="D1" s="3">
        <v>2003</v>
      </c>
      <c r="E1" s="3">
        <v>2004</v>
      </c>
      <c r="F1" s="3">
        <v>2005</v>
      </c>
      <c r="G1" s="3">
        <v>2006</v>
      </c>
      <c r="H1" s="3">
        <v>2007</v>
      </c>
    </row>
    <row r="2" spans="1:8" ht="25.5">
      <c r="A2" s="2" t="s">
        <v>134</v>
      </c>
      <c r="B2" s="2" t="s">
        <v>72</v>
      </c>
      <c r="C2" s="2" t="s">
        <v>149</v>
      </c>
      <c r="D2" s="2">
        <v>5610044</v>
      </c>
      <c r="E2" s="2">
        <v>5577609</v>
      </c>
      <c r="F2" s="2">
        <v>5718560</v>
      </c>
      <c r="G2" s="2">
        <v>5653285</v>
      </c>
      <c r="H2" s="2">
        <v>5649452</v>
      </c>
    </row>
    <row r="3" spans="1:8" ht="25.5">
      <c r="A3" s="2" t="s">
        <v>134</v>
      </c>
      <c r="B3" s="2" t="s">
        <v>57</v>
      </c>
      <c r="C3" s="2" t="s">
        <v>149</v>
      </c>
      <c r="D3" s="2">
        <v>5111445</v>
      </c>
      <c r="E3" s="2">
        <v>5397146</v>
      </c>
      <c r="F3" s="2">
        <v>5691608</v>
      </c>
      <c r="G3" s="2">
        <v>5672230</v>
      </c>
      <c r="H3" s="2">
        <v>5252174</v>
      </c>
    </row>
    <row r="4" spans="1:8" ht="25.5">
      <c r="A4" s="2" t="s">
        <v>134</v>
      </c>
      <c r="B4" s="2" t="s">
        <v>52</v>
      </c>
      <c r="C4" s="2" t="s">
        <v>149</v>
      </c>
      <c r="D4" s="2">
        <v>3438557</v>
      </c>
      <c r="E4" s="2">
        <v>3387822</v>
      </c>
      <c r="F4" s="2">
        <v>3412617</v>
      </c>
      <c r="G4" s="2">
        <v>3397228</v>
      </c>
      <c r="H4" s="2">
        <v>3349122</v>
      </c>
    </row>
    <row r="5" spans="1:8" ht="25.5">
      <c r="A5" s="2" t="s">
        <v>134</v>
      </c>
      <c r="B5" s="2" t="s">
        <v>53</v>
      </c>
      <c r="C5" s="2" t="s">
        <v>149</v>
      </c>
      <c r="D5" s="2">
        <v>3051397</v>
      </c>
      <c r="E5" s="2">
        <v>3326269</v>
      </c>
      <c r="F5" s="2">
        <v>3364424</v>
      </c>
      <c r="G5" s="2">
        <v>3298414</v>
      </c>
      <c r="H5" s="2">
        <v>3221866</v>
      </c>
    </row>
    <row r="6" spans="1:8" ht="25.5">
      <c r="A6" s="2" t="s">
        <v>134</v>
      </c>
      <c r="B6" s="2" t="s">
        <v>51</v>
      </c>
      <c r="C6" s="2" t="s">
        <v>149</v>
      </c>
      <c r="D6" s="2">
        <v>1829526</v>
      </c>
      <c r="E6" s="2">
        <v>1798437</v>
      </c>
      <c r="F6" s="2">
        <v>1905580</v>
      </c>
      <c r="G6" s="2">
        <v>1896663</v>
      </c>
      <c r="H6" s="2">
        <v>1939618</v>
      </c>
    </row>
    <row r="7" spans="1:8" ht="25.5">
      <c r="A7" s="2" t="s">
        <v>134</v>
      </c>
      <c r="B7" s="2" t="s">
        <v>58</v>
      </c>
      <c r="C7" s="2" t="s">
        <v>149</v>
      </c>
      <c r="D7" s="2">
        <v>1674647</v>
      </c>
      <c r="E7" s="2">
        <v>1632915</v>
      </c>
      <c r="F7" s="2">
        <v>1868029</v>
      </c>
      <c r="G7" s="2">
        <v>1859435</v>
      </c>
      <c r="H7" s="2">
        <v>1915680</v>
      </c>
    </row>
    <row r="8" spans="1:8" ht="25.5">
      <c r="A8" s="2" t="s">
        <v>134</v>
      </c>
      <c r="B8" s="2" t="s">
        <v>152</v>
      </c>
      <c r="C8" s="2" t="s">
        <v>149</v>
      </c>
      <c r="D8" s="2">
        <v>1586757</v>
      </c>
      <c r="E8" s="2">
        <v>1576925</v>
      </c>
      <c r="F8" s="2">
        <v>1755570</v>
      </c>
      <c r="G8" s="2">
        <v>1805895</v>
      </c>
      <c r="H8" s="2">
        <v>1452485</v>
      </c>
    </row>
    <row r="9" spans="1:8" ht="25.5">
      <c r="A9" s="2" t="s">
        <v>134</v>
      </c>
      <c r="B9" s="2" t="s">
        <v>169</v>
      </c>
      <c r="C9" s="2" t="s">
        <v>149</v>
      </c>
      <c r="D9" s="2">
        <v>525786</v>
      </c>
      <c r="E9" s="2">
        <v>463154</v>
      </c>
      <c r="F9" s="2">
        <v>612210</v>
      </c>
      <c r="G9" s="2">
        <v>573444</v>
      </c>
      <c r="H9" s="2">
        <v>642537</v>
      </c>
    </row>
    <row r="10" spans="1:8" ht="25.5">
      <c r="A10" s="2" t="s">
        <v>134</v>
      </c>
      <c r="B10" s="2" t="s">
        <v>171</v>
      </c>
      <c r="C10" s="2" t="s">
        <v>149</v>
      </c>
      <c r="D10" s="2">
        <v>435354</v>
      </c>
      <c r="E10" s="2">
        <v>444085</v>
      </c>
      <c r="F10" s="2">
        <v>466015</v>
      </c>
      <c r="G10" s="2">
        <v>481451</v>
      </c>
      <c r="H10" s="2">
        <v>446076</v>
      </c>
    </row>
    <row r="11" spans="1:8" ht="25.5">
      <c r="A11" s="2" t="s">
        <v>134</v>
      </c>
      <c r="B11" s="2" t="s">
        <v>62</v>
      </c>
      <c r="C11" s="2" t="s">
        <v>149</v>
      </c>
      <c r="D11" s="2">
        <v>703864</v>
      </c>
      <c r="E11" s="2">
        <v>674542</v>
      </c>
      <c r="F11" s="2">
        <v>620638</v>
      </c>
      <c r="G11" s="2">
        <v>650291</v>
      </c>
      <c r="H11" s="2">
        <v>404441</v>
      </c>
    </row>
    <row r="12" spans="1:8" ht="25.5">
      <c r="A12" s="2" t="s">
        <v>134</v>
      </c>
      <c r="B12" s="2" t="s">
        <v>198</v>
      </c>
      <c r="C12" s="2" t="s">
        <v>149</v>
      </c>
      <c r="D12" s="2">
        <v>703660</v>
      </c>
      <c r="E12" s="2">
        <v>674337</v>
      </c>
      <c r="F12" s="2">
        <v>620422</v>
      </c>
      <c r="G12" s="2">
        <v>650076</v>
      </c>
      <c r="H12" s="2">
        <v>404227</v>
      </c>
    </row>
    <row r="13" spans="1:8" ht="25.5">
      <c r="A13" s="2" t="s">
        <v>134</v>
      </c>
      <c r="B13" s="2" t="s">
        <v>188</v>
      </c>
      <c r="C13" s="2" t="s">
        <v>149</v>
      </c>
      <c r="D13" s="2">
        <v>341961</v>
      </c>
      <c r="E13" s="2">
        <v>391350</v>
      </c>
      <c r="F13" s="2">
        <v>400363</v>
      </c>
      <c r="G13" s="2">
        <v>359394</v>
      </c>
      <c r="H13" s="2">
        <v>360712</v>
      </c>
    </row>
    <row r="14" spans="1:8" ht="25.5">
      <c r="A14" s="2" t="s">
        <v>134</v>
      </c>
      <c r="B14" s="2" t="s">
        <v>179</v>
      </c>
      <c r="C14" s="2" t="s">
        <v>149</v>
      </c>
      <c r="D14" s="2">
        <v>256489</v>
      </c>
      <c r="E14" s="2">
        <v>249069</v>
      </c>
      <c r="F14" s="2">
        <v>345187</v>
      </c>
      <c r="G14" s="2">
        <v>316863</v>
      </c>
      <c r="H14" s="2">
        <v>332015</v>
      </c>
    </row>
    <row r="15" spans="1:8" ht="25.5">
      <c r="A15" s="2" t="s">
        <v>134</v>
      </c>
      <c r="B15" s="2" t="s">
        <v>189</v>
      </c>
      <c r="C15" s="2" t="s">
        <v>149</v>
      </c>
      <c r="D15" s="2">
        <v>251082</v>
      </c>
      <c r="E15" s="2">
        <v>260592</v>
      </c>
      <c r="F15" s="2">
        <v>274739</v>
      </c>
      <c r="G15" s="2">
        <v>311224</v>
      </c>
      <c r="H15" s="2">
        <v>301145</v>
      </c>
    </row>
    <row r="16" spans="1:8" ht="25.5">
      <c r="A16" s="2" t="s">
        <v>134</v>
      </c>
      <c r="B16" s="2" t="s">
        <v>150</v>
      </c>
      <c r="C16" s="2" t="s">
        <v>149</v>
      </c>
      <c r="D16" s="2">
        <v>262940</v>
      </c>
      <c r="E16" s="2">
        <v>231014</v>
      </c>
      <c r="F16" s="2">
        <v>275439</v>
      </c>
      <c r="G16" s="2">
        <v>237807</v>
      </c>
      <c r="H16" s="2">
        <v>260232</v>
      </c>
    </row>
    <row r="17" spans="1:8" ht="25.5">
      <c r="A17" s="2" t="s">
        <v>134</v>
      </c>
      <c r="B17" s="2" t="s">
        <v>59</v>
      </c>
      <c r="C17" s="2" t="s">
        <v>149</v>
      </c>
      <c r="D17" s="2">
        <v>221135</v>
      </c>
      <c r="E17" s="2">
        <v>267251</v>
      </c>
      <c r="F17" s="2">
        <v>244862</v>
      </c>
      <c r="G17" s="2">
        <v>302151</v>
      </c>
      <c r="H17" s="2">
        <v>230728</v>
      </c>
    </row>
    <row r="18" spans="1:8" ht="25.5">
      <c r="A18" s="2" t="s">
        <v>134</v>
      </c>
      <c r="B18" s="2" t="s">
        <v>203</v>
      </c>
      <c r="C18" s="2" t="s">
        <v>149</v>
      </c>
      <c r="D18" s="2">
        <v>166143</v>
      </c>
      <c r="E18" s="2">
        <v>195377</v>
      </c>
      <c r="F18" s="2">
        <v>174268</v>
      </c>
      <c r="G18" s="2">
        <v>208690</v>
      </c>
      <c r="H18" s="2">
        <v>205714</v>
      </c>
    </row>
    <row r="19" spans="1:8" ht="25.5">
      <c r="A19" s="2" t="s">
        <v>134</v>
      </c>
      <c r="B19" s="2" t="s">
        <v>202</v>
      </c>
      <c r="C19" s="2" t="s">
        <v>149</v>
      </c>
      <c r="D19" s="2">
        <v>110818</v>
      </c>
      <c r="E19" s="2">
        <v>130316</v>
      </c>
      <c r="F19" s="2">
        <v>116237</v>
      </c>
      <c r="G19" s="2">
        <v>139196</v>
      </c>
      <c r="H19" s="2">
        <v>137211</v>
      </c>
    </row>
    <row r="20" spans="1:8" ht="25.5">
      <c r="A20" s="2" t="s">
        <v>134</v>
      </c>
      <c r="B20" s="2" t="s">
        <v>151</v>
      </c>
      <c r="C20" s="2" t="s">
        <v>149</v>
      </c>
      <c r="D20" s="2">
        <v>51315</v>
      </c>
      <c r="E20" s="2">
        <v>72227</v>
      </c>
      <c r="F20" s="2">
        <v>70994</v>
      </c>
      <c r="G20" s="2">
        <v>82190</v>
      </c>
      <c r="H20" s="2">
        <v>96238</v>
      </c>
    </row>
    <row r="21" spans="1:8" ht="25.5">
      <c r="A21" s="2" t="s">
        <v>134</v>
      </c>
      <c r="B21" s="2" t="s">
        <v>178</v>
      </c>
      <c r="C21" s="2" t="s">
        <v>149</v>
      </c>
      <c r="D21" s="2">
        <v>68625</v>
      </c>
      <c r="E21" s="2">
        <v>78588</v>
      </c>
      <c r="F21" s="2">
        <v>76727</v>
      </c>
      <c r="G21" s="2">
        <v>86364</v>
      </c>
      <c r="H21" s="2">
        <v>85344</v>
      </c>
    </row>
    <row r="22" spans="1:8" ht="25.5">
      <c r="A22" s="2" t="s">
        <v>134</v>
      </c>
      <c r="B22" s="2" t="s">
        <v>204</v>
      </c>
      <c r="C22" s="2" t="s">
        <v>149</v>
      </c>
      <c r="D22" s="2">
        <v>140779</v>
      </c>
      <c r="E22" s="2">
        <v>134915</v>
      </c>
      <c r="F22" s="2">
        <v>124135</v>
      </c>
      <c r="G22" s="2">
        <v>130065</v>
      </c>
      <c r="H22" s="2">
        <v>80895</v>
      </c>
    </row>
    <row r="23" spans="1:8" ht="25.5">
      <c r="A23" s="2" t="s">
        <v>134</v>
      </c>
      <c r="B23" s="2" t="s">
        <v>60</v>
      </c>
      <c r="C23" s="2" t="s">
        <v>149</v>
      </c>
      <c r="D23" s="2">
        <v>68752</v>
      </c>
      <c r="E23" s="2">
        <v>68923</v>
      </c>
      <c r="F23" s="2">
        <v>71743</v>
      </c>
      <c r="G23" s="2">
        <v>75061</v>
      </c>
      <c r="H23" s="2">
        <v>67896</v>
      </c>
    </row>
    <row r="24" spans="1:8" ht="25.5">
      <c r="A24" s="2" t="s">
        <v>134</v>
      </c>
      <c r="B24" s="2" t="s">
        <v>213</v>
      </c>
      <c r="C24" s="2" t="s">
        <v>149</v>
      </c>
      <c r="D24" s="2">
        <v>58734</v>
      </c>
      <c r="E24" s="2">
        <v>49452</v>
      </c>
      <c r="F24" s="2">
        <v>67313</v>
      </c>
      <c r="G24" s="2">
        <v>60328</v>
      </c>
      <c r="H24" s="2">
        <v>66273</v>
      </c>
    </row>
    <row r="25" spans="1:8" ht="25.5">
      <c r="A25" s="2" t="s">
        <v>134</v>
      </c>
      <c r="B25" s="2" t="s">
        <v>199</v>
      </c>
      <c r="C25" s="2" t="s">
        <v>149</v>
      </c>
      <c r="D25" s="2">
        <v>59035</v>
      </c>
      <c r="E25" s="2">
        <v>58567</v>
      </c>
      <c r="F25" s="2">
        <v>61474</v>
      </c>
      <c r="G25" s="2">
        <v>65784</v>
      </c>
      <c r="H25" s="2">
        <v>59248</v>
      </c>
    </row>
    <row r="26" spans="1:8" ht="25.5">
      <c r="A26" s="2" t="s">
        <v>134</v>
      </c>
      <c r="B26" s="2" t="s">
        <v>187</v>
      </c>
      <c r="C26" s="2" t="s">
        <v>149</v>
      </c>
      <c r="D26" s="2">
        <v>67642</v>
      </c>
      <c r="E26" s="2">
        <v>116833</v>
      </c>
      <c r="F26" s="2">
        <v>72969</v>
      </c>
      <c r="G26" s="2">
        <v>131833</v>
      </c>
      <c r="H26" s="2">
        <v>58516</v>
      </c>
    </row>
    <row r="27" spans="1:8" ht="25.5">
      <c r="A27" s="2" t="s">
        <v>134</v>
      </c>
      <c r="B27" s="2" t="s">
        <v>168</v>
      </c>
      <c r="C27" s="2" t="s">
        <v>149</v>
      </c>
      <c r="D27" s="2">
        <v>52903</v>
      </c>
      <c r="E27" s="2">
        <v>53473</v>
      </c>
      <c r="F27" s="2">
        <v>61749</v>
      </c>
      <c r="G27" s="2">
        <v>54598</v>
      </c>
      <c r="H27" s="2">
        <v>52833</v>
      </c>
    </row>
    <row r="28" spans="1:8" ht="25.5">
      <c r="A28" s="2" t="s">
        <v>134</v>
      </c>
      <c r="B28" s="2" t="s">
        <v>223</v>
      </c>
      <c r="C28" s="2" t="s">
        <v>149</v>
      </c>
      <c r="D28" s="2">
        <v>40017</v>
      </c>
      <c r="E28" s="2">
        <v>42215</v>
      </c>
      <c r="F28" s="2">
        <v>44559</v>
      </c>
      <c r="G28" s="2">
        <v>45018</v>
      </c>
      <c r="H28" s="2">
        <v>43968</v>
      </c>
    </row>
    <row r="29" spans="1:8" ht="25.5">
      <c r="A29" s="2" t="s">
        <v>134</v>
      </c>
      <c r="B29" s="2" t="s">
        <v>183</v>
      </c>
      <c r="C29" s="2" t="s">
        <v>149</v>
      </c>
      <c r="D29" s="2">
        <v>37739</v>
      </c>
      <c r="E29" s="2">
        <v>29170</v>
      </c>
      <c r="F29" s="2">
        <v>40826</v>
      </c>
      <c r="G29" s="2">
        <v>47387</v>
      </c>
      <c r="H29" s="2">
        <v>42513</v>
      </c>
    </row>
    <row r="30" spans="1:8" ht="25.5">
      <c r="A30" s="2" t="s">
        <v>134</v>
      </c>
      <c r="B30" s="2" t="s">
        <v>70</v>
      </c>
      <c r="C30" s="2" t="s">
        <v>149</v>
      </c>
      <c r="D30" s="2">
        <v>37739</v>
      </c>
      <c r="E30" s="2">
        <v>29170</v>
      </c>
      <c r="F30" s="2">
        <v>40826</v>
      </c>
      <c r="G30" s="2">
        <v>47387</v>
      </c>
      <c r="H30" s="2">
        <v>42513</v>
      </c>
    </row>
    <row r="31" spans="1:8" ht="25.5">
      <c r="A31" s="2" t="s">
        <v>134</v>
      </c>
      <c r="B31" s="2" t="s">
        <v>166</v>
      </c>
      <c r="C31" s="2" t="s">
        <v>149</v>
      </c>
      <c r="D31" s="2">
        <v>40603</v>
      </c>
      <c r="E31" s="2">
        <v>45548</v>
      </c>
      <c r="F31" s="2">
        <v>42776</v>
      </c>
      <c r="G31" s="2">
        <v>46693</v>
      </c>
      <c r="H31" s="2">
        <v>40310</v>
      </c>
    </row>
    <row r="32" spans="1:8" ht="25.5">
      <c r="A32" s="2" t="s">
        <v>134</v>
      </c>
      <c r="B32" s="2" t="s">
        <v>206</v>
      </c>
      <c r="C32" s="2" t="s">
        <v>149</v>
      </c>
      <c r="D32" s="2">
        <v>36021</v>
      </c>
      <c r="E32" s="2">
        <v>40518</v>
      </c>
      <c r="F32" s="2">
        <v>39021</v>
      </c>
      <c r="G32" s="2">
        <v>39004</v>
      </c>
      <c r="H32" s="2">
        <v>36010</v>
      </c>
    </row>
    <row r="33" spans="1:8" ht="25.5">
      <c r="A33" s="2" t="s">
        <v>134</v>
      </c>
      <c r="B33" s="2" t="s">
        <v>211</v>
      </c>
      <c r="C33" s="2" t="s">
        <v>149</v>
      </c>
      <c r="D33" s="2">
        <v>21544</v>
      </c>
      <c r="E33" s="2">
        <v>24213</v>
      </c>
      <c r="F33" s="2">
        <v>23995</v>
      </c>
      <c r="G33" s="2">
        <v>29948</v>
      </c>
      <c r="H33" s="2">
        <v>31523</v>
      </c>
    </row>
    <row r="34" spans="1:8" ht="25.5">
      <c r="A34" s="2" t="s">
        <v>134</v>
      </c>
      <c r="B34" s="2" t="s">
        <v>184</v>
      </c>
      <c r="C34" s="2" t="s">
        <v>149</v>
      </c>
      <c r="D34" s="2">
        <v>40847</v>
      </c>
      <c r="E34" s="2">
        <v>40764</v>
      </c>
      <c r="F34" s="2">
        <v>40666</v>
      </c>
      <c r="G34" s="2">
        <v>31404</v>
      </c>
      <c r="H34" s="2">
        <v>28482</v>
      </c>
    </row>
    <row r="35" spans="1:8" ht="25.5">
      <c r="A35" s="2" t="s">
        <v>134</v>
      </c>
      <c r="B35" s="2" t="s">
        <v>170</v>
      </c>
      <c r="C35" s="2" t="s">
        <v>149</v>
      </c>
      <c r="D35" s="2">
        <v>14823</v>
      </c>
      <c r="E35" s="2">
        <v>15196</v>
      </c>
      <c r="F35" s="2">
        <v>15794</v>
      </c>
      <c r="G35" s="2">
        <v>17699</v>
      </c>
      <c r="H35" s="2">
        <v>16043</v>
      </c>
    </row>
    <row r="36" spans="1:8" ht="25.5">
      <c r="A36" s="2" t="s">
        <v>134</v>
      </c>
      <c r="B36" s="2" t="s">
        <v>159</v>
      </c>
      <c r="C36" s="2" t="s">
        <v>149</v>
      </c>
      <c r="D36" s="2">
        <v>11583</v>
      </c>
      <c r="E36" s="2">
        <v>14315</v>
      </c>
      <c r="F36" s="2">
        <v>14072</v>
      </c>
      <c r="G36" s="2">
        <v>14300</v>
      </c>
      <c r="H36" s="2">
        <v>14797</v>
      </c>
    </row>
    <row r="37" spans="1:8" ht="25.5">
      <c r="A37" s="2" t="s">
        <v>134</v>
      </c>
      <c r="B37" s="2" t="s">
        <v>215</v>
      </c>
      <c r="C37" s="2" t="s">
        <v>149</v>
      </c>
      <c r="D37" s="2">
        <v>15151</v>
      </c>
      <c r="E37" s="2">
        <v>13530</v>
      </c>
      <c r="F37" s="2">
        <v>12908</v>
      </c>
      <c r="G37" s="2">
        <v>25408</v>
      </c>
      <c r="H37" s="2">
        <v>12908</v>
      </c>
    </row>
    <row r="38" spans="1:8" ht="25.5">
      <c r="A38" s="2" t="s">
        <v>134</v>
      </c>
      <c r="B38" s="2" t="s">
        <v>221</v>
      </c>
      <c r="C38" s="2" t="s">
        <v>149</v>
      </c>
      <c r="D38" s="2">
        <v>15151</v>
      </c>
      <c r="E38" s="2">
        <v>13530</v>
      </c>
      <c r="F38" s="2">
        <v>12908</v>
      </c>
      <c r="G38" s="2">
        <v>25408</v>
      </c>
      <c r="H38" s="2">
        <v>12908</v>
      </c>
    </row>
    <row r="39" spans="1:8" ht="25.5">
      <c r="A39" s="2" t="s">
        <v>134</v>
      </c>
      <c r="B39" s="2" t="s">
        <v>68</v>
      </c>
      <c r="C39" s="2" t="s">
        <v>149</v>
      </c>
      <c r="D39" s="2">
        <v>15151</v>
      </c>
      <c r="E39" s="2">
        <v>13530</v>
      </c>
      <c r="F39" s="2">
        <v>12908</v>
      </c>
      <c r="G39" s="2">
        <v>25408</v>
      </c>
      <c r="H39" s="2">
        <v>12908</v>
      </c>
    </row>
    <row r="40" spans="1:8" ht="25.5">
      <c r="A40" s="2" t="s">
        <v>134</v>
      </c>
      <c r="B40" s="2" t="s">
        <v>222</v>
      </c>
      <c r="C40" s="2" t="s">
        <v>149</v>
      </c>
      <c r="D40" s="2">
        <v>13939</v>
      </c>
      <c r="E40" s="2">
        <v>12448</v>
      </c>
      <c r="F40" s="2">
        <v>11875</v>
      </c>
      <c r="G40" s="2">
        <v>23375</v>
      </c>
      <c r="H40" s="2">
        <v>11875</v>
      </c>
    </row>
    <row r="41" spans="1:8" ht="25.5">
      <c r="A41" s="2" t="s">
        <v>134</v>
      </c>
      <c r="B41" s="2" t="s">
        <v>207</v>
      </c>
      <c r="C41" s="2" t="s">
        <v>149</v>
      </c>
      <c r="D41" s="2">
        <v>6525</v>
      </c>
      <c r="E41" s="2">
        <v>7706</v>
      </c>
      <c r="F41" s="2">
        <v>8412</v>
      </c>
      <c r="G41" s="2">
        <v>8413</v>
      </c>
      <c r="H41" s="2">
        <v>8803</v>
      </c>
    </row>
    <row r="42" spans="1:8" ht="25.5">
      <c r="A42" s="2" t="s">
        <v>134</v>
      </c>
      <c r="B42" s="2" t="s">
        <v>201</v>
      </c>
      <c r="C42" s="2" t="s">
        <v>149</v>
      </c>
      <c r="D42" s="2">
        <v>200</v>
      </c>
      <c r="E42" s="2">
        <v>306</v>
      </c>
      <c r="F42" s="2">
        <v>1974</v>
      </c>
      <c r="G42" s="2">
        <v>5925</v>
      </c>
      <c r="H42" s="2">
        <v>8220</v>
      </c>
    </row>
    <row r="43" spans="1:8" ht="25.5">
      <c r="A43" s="2" t="s">
        <v>134</v>
      </c>
      <c r="B43" s="2" t="s">
        <v>153</v>
      </c>
      <c r="C43" s="2" t="s">
        <v>149</v>
      </c>
      <c r="D43" s="2">
        <v>9174</v>
      </c>
      <c r="E43" s="2">
        <v>9621</v>
      </c>
      <c r="F43" s="2">
        <v>9526</v>
      </c>
      <c r="G43" s="2">
        <v>8436</v>
      </c>
      <c r="H43" s="2">
        <v>7787</v>
      </c>
    </row>
    <row r="44" spans="1:8" ht="25.5">
      <c r="A44" s="2" t="s">
        <v>134</v>
      </c>
      <c r="B44" s="2" t="s">
        <v>158</v>
      </c>
      <c r="C44" s="2" t="s">
        <v>149</v>
      </c>
      <c r="D44" s="2">
        <v>4513</v>
      </c>
      <c r="E44" s="2">
        <v>4784</v>
      </c>
      <c r="F44" s="2">
        <v>2165</v>
      </c>
      <c r="G44" s="2">
        <v>6902</v>
      </c>
      <c r="H44" s="2">
        <v>6469</v>
      </c>
    </row>
    <row r="45" spans="1:8" ht="25.5">
      <c r="A45" s="2" t="s">
        <v>134</v>
      </c>
      <c r="B45" s="2" t="s">
        <v>181</v>
      </c>
      <c r="C45" s="2" t="s">
        <v>149</v>
      </c>
      <c r="D45" s="2">
        <v>3060</v>
      </c>
      <c r="E45" s="2">
        <v>4288</v>
      </c>
      <c r="F45" s="2">
        <v>4343</v>
      </c>
      <c r="G45" s="2">
        <v>4604</v>
      </c>
      <c r="H45" s="2">
        <v>6113</v>
      </c>
    </row>
    <row r="46" spans="1:8" ht="25.5">
      <c r="A46" s="2" t="s">
        <v>134</v>
      </c>
      <c r="B46" s="2" t="s">
        <v>173</v>
      </c>
      <c r="C46" s="2" t="s">
        <v>149</v>
      </c>
      <c r="D46" s="2">
        <v>3883</v>
      </c>
      <c r="E46" s="2">
        <v>3778</v>
      </c>
      <c r="F46" s="2">
        <v>4196</v>
      </c>
      <c r="G46" s="2">
        <v>3633</v>
      </c>
      <c r="H46" s="2">
        <v>4030</v>
      </c>
    </row>
    <row r="47" spans="1:8" ht="25.5">
      <c r="A47" s="2" t="s">
        <v>134</v>
      </c>
      <c r="B47" s="2" t="s">
        <v>71</v>
      </c>
      <c r="C47" s="2" t="s">
        <v>149</v>
      </c>
      <c r="D47" s="2">
        <v>3458</v>
      </c>
      <c r="E47" s="2">
        <v>4870</v>
      </c>
      <c r="F47" s="2">
        <v>6979</v>
      </c>
      <c r="G47" s="2">
        <v>3576</v>
      </c>
      <c r="H47" s="2">
        <v>3797</v>
      </c>
    </row>
    <row r="48" spans="1:8" ht="25.5">
      <c r="A48" s="2" t="s">
        <v>134</v>
      </c>
      <c r="B48" s="2" t="s">
        <v>67</v>
      </c>
      <c r="C48" s="2" t="s">
        <v>149</v>
      </c>
      <c r="D48" s="2">
        <v>3810</v>
      </c>
      <c r="E48" s="2">
        <v>3619</v>
      </c>
      <c r="F48" s="2">
        <v>2738</v>
      </c>
      <c r="G48" s="2">
        <v>2761</v>
      </c>
      <c r="H48" s="2">
        <v>2867</v>
      </c>
    </row>
    <row r="49" spans="1:8" ht="25.5">
      <c r="A49" s="2" t="s">
        <v>134</v>
      </c>
      <c r="B49" s="2" t="s">
        <v>174</v>
      </c>
      <c r="C49" s="2" t="s">
        <v>149</v>
      </c>
      <c r="D49" s="2">
        <v>2718</v>
      </c>
      <c r="E49" s="2">
        <v>2645</v>
      </c>
      <c r="F49" s="2">
        <v>2937</v>
      </c>
      <c r="G49" s="2">
        <v>2543</v>
      </c>
      <c r="H49" s="2">
        <v>2821</v>
      </c>
    </row>
    <row r="50" spans="1:8" ht="25.5">
      <c r="A50" s="2" t="s">
        <v>134</v>
      </c>
      <c r="B50" s="2" t="s">
        <v>49</v>
      </c>
      <c r="C50" s="2" t="s">
        <v>149</v>
      </c>
      <c r="D50" s="2">
        <v>3429</v>
      </c>
      <c r="E50" s="2">
        <v>3291</v>
      </c>
      <c r="F50" s="2">
        <v>2418</v>
      </c>
      <c r="G50" s="2">
        <v>2304</v>
      </c>
      <c r="H50" s="2">
        <v>2394</v>
      </c>
    </row>
    <row r="51" spans="1:8" ht="25.5">
      <c r="A51" s="2" t="s">
        <v>134</v>
      </c>
      <c r="B51" s="2" t="s">
        <v>212</v>
      </c>
      <c r="C51" s="2" t="s">
        <v>149</v>
      </c>
      <c r="D51" s="2">
        <v>2535</v>
      </c>
      <c r="E51" s="2">
        <v>3431</v>
      </c>
      <c r="F51" s="2">
        <v>5886</v>
      </c>
      <c r="G51" s="2">
        <v>1337</v>
      </c>
      <c r="H51" s="2">
        <v>2045</v>
      </c>
    </row>
    <row r="52" spans="1:8" ht="25.5">
      <c r="A52" s="2" t="s">
        <v>134</v>
      </c>
      <c r="B52" s="2" t="s">
        <v>180</v>
      </c>
      <c r="C52" s="2" t="s">
        <v>149</v>
      </c>
      <c r="D52" s="2">
        <v>806</v>
      </c>
      <c r="E52" s="2">
        <v>1074</v>
      </c>
      <c r="F52" s="2">
        <v>958</v>
      </c>
      <c r="G52" s="2">
        <v>1050</v>
      </c>
      <c r="H52" s="2">
        <v>1124</v>
      </c>
    </row>
    <row r="53" spans="1:8" ht="25.5">
      <c r="A53" s="2" t="s">
        <v>134</v>
      </c>
      <c r="B53" s="2" t="s">
        <v>186</v>
      </c>
      <c r="C53" s="2" t="s">
        <v>149</v>
      </c>
      <c r="D53" s="2">
        <v>391</v>
      </c>
      <c r="E53" s="2">
        <v>211</v>
      </c>
      <c r="F53" s="2">
        <v>242</v>
      </c>
      <c r="G53" s="2">
        <v>383</v>
      </c>
      <c r="H53" s="2">
        <v>957</v>
      </c>
    </row>
    <row r="54" spans="1:8" ht="25.5">
      <c r="A54" s="2" t="s">
        <v>134</v>
      </c>
      <c r="B54" s="2" t="s">
        <v>216</v>
      </c>
      <c r="C54" s="2" t="s">
        <v>149</v>
      </c>
      <c r="D54" s="2">
        <v>644</v>
      </c>
      <c r="E54" s="2">
        <v>664</v>
      </c>
      <c r="F54" s="2">
        <v>358</v>
      </c>
      <c r="G54" s="2">
        <v>836</v>
      </c>
      <c r="H54" s="2">
        <v>865</v>
      </c>
    </row>
    <row r="55" spans="1:8" ht="25.5">
      <c r="A55" s="2" t="s">
        <v>134</v>
      </c>
      <c r="B55" s="2" t="s">
        <v>69</v>
      </c>
      <c r="C55" s="2" t="s">
        <v>149</v>
      </c>
      <c r="D55" s="2">
        <v>644</v>
      </c>
      <c r="E55" s="2">
        <v>664</v>
      </c>
      <c r="F55" s="2">
        <v>358</v>
      </c>
      <c r="G55" s="2">
        <v>836</v>
      </c>
      <c r="H55" s="2">
        <v>865</v>
      </c>
    </row>
    <row r="56" spans="1:8" ht="25.5">
      <c r="A56" s="2" t="s">
        <v>134</v>
      </c>
      <c r="B56" s="2" t="s">
        <v>193</v>
      </c>
      <c r="C56" s="2" t="s">
        <v>149</v>
      </c>
      <c r="D56" s="2">
        <v>543</v>
      </c>
      <c r="E56" s="2">
        <v>735</v>
      </c>
      <c r="F56" s="2">
        <v>743</v>
      </c>
      <c r="G56" s="2">
        <v>841</v>
      </c>
      <c r="H56" s="2">
        <v>861</v>
      </c>
    </row>
    <row r="57" spans="1:8" ht="25.5">
      <c r="A57" s="2" t="s">
        <v>134</v>
      </c>
      <c r="B57" s="2" t="s">
        <v>163</v>
      </c>
      <c r="C57" s="2" t="s">
        <v>149</v>
      </c>
      <c r="D57" s="2">
        <v>4305</v>
      </c>
      <c r="E57" s="2">
        <v>2335</v>
      </c>
      <c r="F57" s="2">
        <v>3680</v>
      </c>
      <c r="G57" s="2">
        <v>1015</v>
      </c>
      <c r="H57" s="2">
        <v>860</v>
      </c>
    </row>
    <row r="58" spans="1:8" ht="25.5">
      <c r="A58" s="2" t="s">
        <v>134</v>
      </c>
      <c r="B58" s="2" t="s">
        <v>156</v>
      </c>
      <c r="C58" s="2" t="s">
        <v>149</v>
      </c>
      <c r="D58" s="2">
        <v>806</v>
      </c>
      <c r="E58" s="2">
        <v>729</v>
      </c>
      <c r="F58" s="2">
        <v>865</v>
      </c>
      <c r="G58" s="2">
        <v>527</v>
      </c>
      <c r="H58" s="2">
        <v>646</v>
      </c>
    </row>
    <row r="59" spans="1:8" ht="25.5">
      <c r="A59" s="2" t="s">
        <v>134</v>
      </c>
      <c r="B59" s="2" t="s">
        <v>195</v>
      </c>
      <c r="C59" s="2" t="s">
        <v>149</v>
      </c>
      <c r="D59" s="2">
        <v>613</v>
      </c>
      <c r="E59" s="2">
        <v>614</v>
      </c>
      <c r="F59" s="2">
        <v>616</v>
      </c>
      <c r="G59" s="2">
        <v>615</v>
      </c>
      <c r="H59" s="2">
        <v>607</v>
      </c>
    </row>
    <row r="60" spans="1:8" ht="25.5">
      <c r="A60" s="2" t="s">
        <v>134</v>
      </c>
      <c r="B60" s="2" t="s">
        <v>61</v>
      </c>
      <c r="C60" s="2" t="s">
        <v>149</v>
      </c>
      <c r="D60" s="2">
        <v>613</v>
      </c>
      <c r="E60" s="2">
        <v>614</v>
      </c>
      <c r="F60" s="2">
        <v>616</v>
      </c>
      <c r="G60" s="2">
        <v>615</v>
      </c>
      <c r="H60" s="2">
        <v>607</v>
      </c>
    </row>
    <row r="61" spans="1:8" ht="25.5">
      <c r="A61" s="2" t="s">
        <v>134</v>
      </c>
      <c r="B61" s="2" t="s">
        <v>185</v>
      </c>
      <c r="C61" s="2" t="s">
        <v>149</v>
      </c>
      <c r="D61" s="2">
        <v>51</v>
      </c>
      <c r="E61" s="2">
        <v>299</v>
      </c>
      <c r="F61" s="2">
        <v>49</v>
      </c>
      <c r="G61" s="2">
        <v>1038</v>
      </c>
      <c r="H61" s="2">
        <v>473</v>
      </c>
    </row>
    <row r="62" spans="1:8" ht="25.5">
      <c r="A62" s="2" t="s">
        <v>134</v>
      </c>
      <c r="B62" s="2" t="s">
        <v>164</v>
      </c>
      <c r="C62" s="2" t="s">
        <v>149</v>
      </c>
      <c r="D62" s="2">
        <v>381</v>
      </c>
      <c r="E62" s="2">
        <v>328</v>
      </c>
      <c r="F62" s="2">
        <v>320</v>
      </c>
      <c r="G62" s="2">
        <v>457</v>
      </c>
      <c r="H62" s="2">
        <v>473</v>
      </c>
    </row>
    <row r="63" spans="1:8" ht="25.5">
      <c r="A63" s="2" t="s">
        <v>134</v>
      </c>
      <c r="B63" s="2" t="s">
        <v>196</v>
      </c>
      <c r="C63" s="2" t="s">
        <v>149</v>
      </c>
      <c r="D63" s="2">
        <v>236</v>
      </c>
      <c r="E63" s="2">
        <v>271</v>
      </c>
      <c r="F63" s="2">
        <v>290</v>
      </c>
      <c r="G63" s="2">
        <v>358</v>
      </c>
      <c r="H63" s="2">
        <v>435</v>
      </c>
    </row>
    <row r="64" spans="1:8" ht="25.5">
      <c r="A64" s="2" t="s">
        <v>134</v>
      </c>
      <c r="B64" s="2" t="s">
        <v>205</v>
      </c>
      <c r="C64" s="2" t="s">
        <v>149</v>
      </c>
      <c r="D64" s="2">
        <v>189</v>
      </c>
      <c r="E64" s="2">
        <v>188</v>
      </c>
      <c r="F64" s="2">
        <v>200</v>
      </c>
      <c r="G64" s="2">
        <v>198</v>
      </c>
      <c r="H64" s="2">
        <v>197</v>
      </c>
    </row>
    <row r="65" spans="1:8" ht="25.5">
      <c r="A65" s="2" t="s">
        <v>134</v>
      </c>
      <c r="B65" s="2" t="s">
        <v>190</v>
      </c>
      <c r="C65" s="2" t="s">
        <v>149</v>
      </c>
      <c r="D65" s="2">
        <v>66</v>
      </c>
      <c r="E65" s="2">
        <v>66</v>
      </c>
      <c r="F65" s="2">
        <v>86</v>
      </c>
      <c r="G65" s="2">
        <v>151</v>
      </c>
      <c r="H65" s="2">
        <v>155</v>
      </c>
    </row>
    <row r="66" spans="1:8" ht="25.5">
      <c r="A66" s="2" t="s">
        <v>134</v>
      </c>
      <c r="B66" s="2" t="s">
        <v>47</v>
      </c>
      <c r="C66" s="2" t="s">
        <v>149</v>
      </c>
      <c r="D66" s="2">
        <v>15</v>
      </c>
      <c r="E66" s="2">
        <v>17</v>
      </c>
      <c r="F66" s="2">
        <v>16</v>
      </c>
      <c r="G66" s="2">
        <v>17</v>
      </c>
      <c r="H66" s="2">
        <v>17</v>
      </c>
    </row>
  </sheetData>
  <printOptions/>
  <pageMargins left="0.787401575" right="0.787401575" top="1" bottom="1" header="0" footer="0"/>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workbookViewId="0" topLeftCell="A1"/>
  </sheetViews>
  <sheetFormatPr defaultColWidth="11.00390625" defaultRowHeight="12.75"/>
  <cols>
    <col min="1" max="1" width="18.00390625" style="0" customWidth="1"/>
    <col min="2" max="2" width="21.00390625" style="0" customWidth="1"/>
    <col min="3" max="3" width="9.625" style="0" customWidth="1"/>
    <col min="4" max="4" width="8.625" style="0" customWidth="1"/>
    <col min="5" max="5" width="7.875" style="0" customWidth="1"/>
    <col min="6" max="6" width="8.625" style="0" customWidth="1"/>
    <col min="7" max="7" width="7.875" style="0" customWidth="1"/>
    <col min="8" max="8" width="8.25390625" style="0" customWidth="1"/>
  </cols>
  <sheetData>
    <row r="1" spans="1:8" ht="12.75">
      <c r="A1" s="3" t="s">
        <v>145</v>
      </c>
      <c r="B1" s="3" t="s">
        <v>146</v>
      </c>
      <c r="C1" s="3" t="s">
        <v>147</v>
      </c>
      <c r="D1" s="3">
        <v>2003</v>
      </c>
      <c r="E1" s="3">
        <v>2004</v>
      </c>
      <c r="F1" s="3">
        <v>2005</v>
      </c>
      <c r="G1" s="3">
        <v>2006</v>
      </c>
      <c r="H1" s="3">
        <v>2007</v>
      </c>
    </row>
    <row r="2" spans="1:8" ht="25.5">
      <c r="A2" s="2" t="s">
        <v>136</v>
      </c>
      <c r="B2" s="2" t="s">
        <v>57</v>
      </c>
      <c r="C2" s="2" t="s">
        <v>149</v>
      </c>
      <c r="D2" s="2">
        <v>3997793</v>
      </c>
      <c r="E2" s="2">
        <v>5162898</v>
      </c>
      <c r="F2" s="2">
        <v>4706926</v>
      </c>
      <c r="G2" s="2">
        <v>4266382</v>
      </c>
      <c r="H2" s="2">
        <v>4363800</v>
      </c>
    </row>
    <row r="3" spans="1:8" ht="25.5">
      <c r="A3" s="2" t="s">
        <v>136</v>
      </c>
      <c r="B3" s="2" t="s">
        <v>198</v>
      </c>
      <c r="C3" s="2" t="s">
        <v>149</v>
      </c>
      <c r="D3" s="2">
        <v>3353087</v>
      </c>
      <c r="E3" s="2">
        <v>3499495</v>
      </c>
      <c r="F3" s="2">
        <v>3013313</v>
      </c>
      <c r="G3" s="2">
        <v>2979822</v>
      </c>
      <c r="H3" s="2">
        <v>3335299</v>
      </c>
    </row>
    <row r="4" spans="1:8" ht="25.5">
      <c r="A4" s="2" t="s">
        <v>136</v>
      </c>
      <c r="B4" s="2" t="s">
        <v>62</v>
      </c>
      <c r="C4" s="2" t="s">
        <v>149</v>
      </c>
      <c r="D4" s="2">
        <v>3353087</v>
      </c>
      <c r="E4" s="2">
        <v>3499495</v>
      </c>
      <c r="F4" s="2">
        <v>3013313</v>
      </c>
      <c r="G4" s="2">
        <v>2979822</v>
      </c>
      <c r="H4" s="2">
        <v>3335299</v>
      </c>
    </row>
    <row r="5" spans="1:8" ht="25.5">
      <c r="A5" s="2" t="s">
        <v>136</v>
      </c>
      <c r="B5" s="2" t="s">
        <v>53</v>
      </c>
      <c r="C5" s="2" t="s">
        <v>149</v>
      </c>
      <c r="D5" s="2">
        <v>1394895</v>
      </c>
      <c r="E5" s="2">
        <v>1894427</v>
      </c>
      <c r="F5" s="2">
        <v>1893121</v>
      </c>
      <c r="G5" s="2">
        <v>1623318</v>
      </c>
      <c r="H5" s="2">
        <v>1630936</v>
      </c>
    </row>
    <row r="6" spans="1:8" ht="25.5">
      <c r="A6" s="2" t="s">
        <v>136</v>
      </c>
      <c r="B6" s="2" t="s">
        <v>72</v>
      </c>
      <c r="C6" s="2" t="s">
        <v>149</v>
      </c>
      <c r="D6" s="2">
        <v>1704493</v>
      </c>
      <c r="E6" s="2">
        <v>1608260</v>
      </c>
      <c r="F6" s="2">
        <v>1533334</v>
      </c>
      <c r="G6" s="2">
        <v>1706798</v>
      </c>
      <c r="H6" s="2">
        <v>1609432</v>
      </c>
    </row>
    <row r="7" spans="1:8" ht="25.5">
      <c r="A7" s="2" t="s">
        <v>136</v>
      </c>
      <c r="B7" s="2" t="s">
        <v>52</v>
      </c>
      <c r="C7" s="2" t="s">
        <v>149</v>
      </c>
      <c r="D7" s="2">
        <v>1268889</v>
      </c>
      <c r="E7" s="2">
        <v>1213505</v>
      </c>
      <c r="F7" s="2">
        <v>1163244</v>
      </c>
      <c r="G7" s="2">
        <v>1231490</v>
      </c>
      <c r="H7" s="2">
        <v>1171966</v>
      </c>
    </row>
    <row r="8" spans="1:8" ht="25.5">
      <c r="A8" s="2" t="s">
        <v>136</v>
      </c>
      <c r="B8" s="2" t="s">
        <v>179</v>
      </c>
      <c r="C8" s="2" t="s">
        <v>149</v>
      </c>
      <c r="D8" s="2">
        <v>876865</v>
      </c>
      <c r="E8" s="2">
        <v>1172240</v>
      </c>
      <c r="F8" s="2">
        <v>1036111</v>
      </c>
      <c r="G8" s="2">
        <v>1040606</v>
      </c>
      <c r="H8" s="2">
        <v>966696</v>
      </c>
    </row>
    <row r="9" spans="1:8" ht="25.5">
      <c r="A9" s="2" t="s">
        <v>136</v>
      </c>
      <c r="B9" s="2" t="s">
        <v>204</v>
      </c>
      <c r="C9" s="2" t="s">
        <v>149</v>
      </c>
      <c r="D9" s="2">
        <v>670617</v>
      </c>
      <c r="E9" s="2">
        <v>699899</v>
      </c>
      <c r="F9" s="2">
        <v>602663</v>
      </c>
      <c r="G9" s="2">
        <v>595964</v>
      </c>
      <c r="H9" s="2">
        <v>667060</v>
      </c>
    </row>
    <row r="10" spans="1:8" ht="25.5">
      <c r="A10" s="2" t="s">
        <v>135</v>
      </c>
      <c r="B10" s="2" t="s">
        <v>152</v>
      </c>
      <c r="C10" s="2" t="s">
        <v>149</v>
      </c>
      <c r="D10" s="2">
        <v>689531</v>
      </c>
      <c r="E10" s="2">
        <v>857328</v>
      </c>
      <c r="F10" s="2">
        <v>659785</v>
      </c>
      <c r="G10" s="2">
        <v>729852</v>
      </c>
      <c r="H10" s="2">
        <v>648908</v>
      </c>
    </row>
    <row r="11" spans="1:8" ht="25.5">
      <c r="A11" s="2" t="s">
        <v>136</v>
      </c>
      <c r="B11" s="2" t="s">
        <v>58</v>
      </c>
      <c r="C11" s="2" t="s">
        <v>149</v>
      </c>
      <c r="D11" s="2">
        <v>841998</v>
      </c>
      <c r="E11" s="2">
        <v>839675</v>
      </c>
      <c r="F11" s="2">
        <v>725560</v>
      </c>
      <c r="G11" s="2">
        <v>732538</v>
      </c>
      <c r="H11" s="2">
        <v>628248</v>
      </c>
    </row>
    <row r="12" spans="1:8" ht="25.5">
      <c r="A12" s="2" t="s">
        <v>136</v>
      </c>
      <c r="B12" s="2" t="s">
        <v>59</v>
      </c>
      <c r="C12" s="2" t="s">
        <v>149</v>
      </c>
      <c r="D12" s="2">
        <v>378961</v>
      </c>
      <c r="E12" s="2">
        <v>405305</v>
      </c>
      <c r="F12" s="2">
        <v>509952</v>
      </c>
      <c r="G12" s="2">
        <v>507692</v>
      </c>
      <c r="H12" s="2">
        <v>502528</v>
      </c>
    </row>
    <row r="13" spans="1:8" ht="25.5">
      <c r="A13" s="2" t="s">
        <v>136</v>
      </c>
      <c r="B13" s="2" t="s">
        <v>223</v>
      </c>
      <c r="C13" s="2" t="s">
        <v>149</v>
      </c>
      <c r="D13" s="2">
        <v>331976</v>
      </c>
      <c r="E13" s="2">
        <v>334951</v>
      </c>
      <c r="F13" s="2">
        <v>444524</v>
      </c>
      <c r="G13" s="2">
        <v>443531</v>
      </c>
      <c r="H13" s="2">
        <v>411648</v>
      </c>
    </row>
    <row r="14" spans="1:8" ht="25.5">
      <c r="A14" s="2" t="s">
        <v>135</v>
      </c>
      <c r="B14" s="2" t="s">
        <v>158</v>
      </c>
      <c r="C14" s="2" t="s">
        <v>149</v>
      </c>
      <c r="D14" s="2">
        <v>298898</v>
      </c>
      <c r="E14" s="2">
        <v>417586</v>
      </c>
      <c r="F14" s="2">
        <v>374400</v>
      </c>
      <c r="G14" s="2">
        <v>258884</v>
      </c>
      <c r="H14" s="2">
        <v>402178</v>
      </c>
    </row>
    <row r="15" spans="1:8" ht="25.5">
      <c r="A15" s="2" t="s">
        <v>136</v>
      </c>
      <c r="B15" s="2" t="s">
        <v>216</v>
      </c>
      <c r="C15" s="2" t="s">
        <v>149</v>
      </c>
      <c r="D15" s="2">
        <v>274855</v>
      </c>
      <c r="E15" s="2">
        <v>302844</v>
      </c>
      <c r="F15" s="2">
        <v>319325</v>
      </c>
      <c r="G15" s="2">
        <v>388095</v>
      </c>
      <c r="H15" s="2">
        <v>356168</v>
      </c>
    </row>
    <row r="16" spans="1:8" ht="25.5">
      <c r="A16" s="2" t="s">
        <v>136</v>
      </c>
      <c r="B16" s="2" t="s">
        <v>69</v>
      </c>
      <c r="C16" s="2" t="s">
        <v>149</v>
      </c>
      <c r="D16" s="2">
        <v>274855</v>
      </c>
      <c r="E16" s="2">
        <v>302844</v>
      </c>
      <c r="F16" s="2">
        <v>319325</v>
      </c>
      <c r="G16" s="2">
        <v>388095</v>
      </c>
      <c r="H16" s="2">
        <v>356168</v>
      </c>
    </row>
    <row r="17" spans="1:8" ht="25.5">
      <c r="A17" s="2" t="s">
        <v>136</v>
      </c>
      <c r="B17" s="2" t="s">
        <v>184</v>
      </c>
      <c r="C17" s="2" t="s">
        <v>149</v>
      </c>
      <c r="D17" s="2">
        <v>332818</v>
      </c>
      <c r="E17" s="2">
        <v>343030</v>
      </c>
      <c r="F17" s="2">
        <v>295461</v>
      </c>
      <c r="G17" s="2">
        <v>263079</v>
      </c>
      <c r="H17" s="2">
        <v>340293</v>
      </c>
    </row>
    <row r="18" spans="1:8" ht="25.5">
      <c r="A18" s="2" t="s">
        <v>136</v>
      </c>
      <c r="B18" s="2" t="s">
        <v>206</v>
      </c>
      <c r="C18" s="2" t="s">
        <v>149</v>
      </c>
      <c r="D18" s="2">
        <v>357983</v>
      </c>
      <c r="E18" s="2">
        <v>423816</v>
      </c>
      <c r="F18" s="2">
        <v>412645</v>
      </c>
      <c r="G18" s="2">
        <v>309008</v>
      </c>
      <c r="H18" s="2">
        <v>332344</v>
      </c>
    </row>
    <row r="19" spans="1:8" ht="25.5">
      <c r="A19" s="2" t="s">
        <v>136</v>
      </c>
      <c r="B19" s="2" t="s">
        <v>51</v>
      </c>
      <c r="C19" s="2" t="s">
        <v>149</v>
      </c>
      <c r="D19" s="2">
        <v>265053</v>
      </c>
      <c r="E19" s="2">
        <v>211112</v>
      </c>
      <c r="F19" s="2">
        <v>199017</v>
      </c>
      <c r="G19" s="2">
        <v>303878</v>
      </c>
      <c r="H19" s="2">
        <v>252187</v>
      </c>
    </row>
    <row r="20" spans="1:8" ht="25.5">
      <c r="A20" s="2" t="s">
        <v>135</v>
      </c>
      <c r="B20" s="2" t="s">
        <v>150</v>
      </c>
      <c r="C20" s="2" t="s">
        <v>149</v>
      </c>
      <c r="D20" s="2">
        <v>371083</v>
      </c>
      <c r="E20" s="2">
        <v>381646</v>
      </c>
      <c r="F20" s="2">
        <v>298810</v>
      </c>
      <c r="G20" s="2">
        <v>303893</v>
      </c>
      <c r="H20" s="2">
        <v>213106</v>
      </c>
    </row>
    <row r="21" spans="1:8" ht="25.5">
      <c r="A21" s="2" t="s">
        <v>135</v>
      </c>
      <c r="B21" s="2" t="s">
        <v>169</v>
      </c>
      <c r="C21" s="2" t="s">
        <v>149</v>
      </c>
      <c r="D21" s="2">
        <v>237070</v>
      </c>
      <c r="E21" s="2">
        <v>240230</v>
      </c>
      <c r="F21" s="2">
        <v>239706</v>
      </c>
      <c r="G21" s="2">
        <v>215548</v>
      </c>
      <c r="H21" s="2">
        <v>192192</v>
      </c>
    </row>
    <row r="22" spans="1:8" ht="25.5">
      <c r="A22" s="2" t="s">
        <v>136</v>
      </c>
      <c r="B22" s="2" t="s">
        <v>188</v>
      </c>
      <c r="C22" s="2" t="s">
        <v>149</v>
      </c>
      <c r="D22" s="2">
        <v>170551</v>
      </c>
      <c r="E22" s="2">
        <v>183643</v>
      </c>
      <c r="F22" s="2">
        <v>171073</v>
      </c>
      <c r="G22" s="2">
        <v>171430</v>
      </c>
      <c r="H22" s="2">
        <v>185279</v>
      </c>
    </row>
    <row r="23" spans="1:8" ht="25.5">
      <c r="A23" s="2" t="s">
        <v>136</v>
      </c>
      <c r="B23" s="2" t="s">
        <v>60</v>
      </c>
      <c r="C23" s="2" t="s">
        <v>149</v>
      </c>
      <c r="D23" s="2">
        <v>138963</v>
      </c>
      <c r="E23" s="2">
        <v>168057</v>
      </c>
      <c r="F23" s="2">
        <v>150811</v>
      </c>
      <c r="G23" s="2">
        <v>148455</v>
      </c>
      <c r="H23" s="2">
        <v>117495</v>
      </c>
    </row>
    <row r="24" spans="1:8" ht="25.5">
      <c r="A24" s="2" t="s">
        <v>135</v>
      </c>
      <c r="B24" s="2" t="s">
        <v>171</v>
      </c>
      <c r="C24" s="2" t="s">
        <v>149</v>
      </c>
      <c r="D24" s="2">
        <v>124388</v>
      </c>
      <c r="E24" s="2">
        <v>107609</v>
      </c>
      <c r="F24" s="2">
        <v>76348</v>
      </c>
      <c r="G24" s="2">
        <v>106425</v>
      </c>
      <c r="H24" s="2">
        <v>113450</v>
      </c>
    </row>
    <row r="25" spans="1:8" ht="25.5">
      <c r="A25" s="2" t="s">
        <v>136</v>
      </c>
      <c r="B25" s="2" t="s">
        <v>193</v>
      </c>
      <c r="C25" s="2" t="s">
        <v>149</v>
      </c>
      <c r="D25" s="2">
        <v>101139</v>
      </c>
      <c r="E25" s="2">
        <v>127883</v>
      </c>
      <c r="F25" s="2">
        <v>116134</v>
      </c>
      <c r="G25" s="2">
        <v>119740</v>
      </c>
      <c r="H25" s="2">
        <v>89074</v>
      </c>
    </row>
    <row r="26" spans="1:8" ht="25.5">
      <c r="A26" s="2" t="s">
        <v>136</v>
      </c>
      <c r="B26" s="2" t="s">
        <v>201</v>
      </c>
      <c r="C26" s="2" t="s">
        <v>149</v>
      </c>
      <c r="D26" s="2">
        <v>33382</v>
      </c>
      <c r="E26" s="2">
        <v>53736</v>
      </c>
      <c r="F26" s="2">
        <v>42898</v>
      </c>
      <c r="G26" s="2">
        <v>37143</v>
      </c>
      <c r="H26" s="2">
        <v>64874</v>
      </c>
    </row>
    <row r="27" spans="1:8" ht="25.5">
      <c r="A27" s="2" t="s">
        <v>135</v>
      </c>
      <c r="B27" s="2" t="s">
        <v>151</v>
      </c>
      <c r="C27" s="2" t="s">
        <v>149</v>
      </c>
      <c r="D27" s="2">
        <v>55607</v>
      </c>
      <c r="E27" s="2">
        <v>58217</v>
      </c>
      <c r="F27" s="2">
        <v>56514</v>
      </c>
      <c r="G27" s="2">
        <v>50881</v>
      </c>
      <c r="H27" s="2">
        <v>52016</v>
      </c>
    </row>
    <row r="28" spans="1:8" ht="25.5">
      <c r="A28" s="2" t="s">
        <v>136</v>
      </c>
      <c r="B28" s="2" t="s">
        <v>189</v>
      </c>
      <c r="C28" s="2" t="s">
        <v>149</v>
      </c>
      <c r="D28" s="2">
        <v>40724</v>
      </c>
      <c r="E28" s="2">
        <v>37758</v>
      </c>
      <c r="F28" s="2">
        <v>39904</v>
      </c>
      <c r="G28" s="2">
        <v>40377</v>
      </c>
      <c r="H28" s="2">
        <v>41674</v>
      </c>
    </row>
    <row r="29" spans="1:8" ht="25.5">
      <c r="A29" s="2" t="s">
        <v>136</v>
      </c>
      <c r="B29" s="2" t="s">
        <v>203</v>
      </c>
      <c r="C29" s="2" t="s">
        <v>149</v>
      </c>
      <c r="D29" s="2">
        <v>24807</v>
      </c>
      <c r="E29" s="2">
        <v>27805</v>
      </c>
      <c r="F29" s="2">
        <v>24977</v>
      </c>
      <c r="G29" s="2">
        <v>28391</v>
      </c>
      <c r="H29" s="2">
        <v>30906</v>
      </c>
    </row>
    <row r="30" spans="1:8" ht="25.5">
      <c r="A30" s="2" t="s">
        <v>136</v>
      </c>
      <c r="B30" s="2" t="s">
        <v>202</v>
      </c>
      <c r="C30" s="2" t="s">
        <v>149</v>
      </c>
      <c r="D30" s="2">
        <v>16546</v>
      </c>
      <c r="E30" s="2">
        <v>18546</v>
      </c>
      <c r="F30" s="2">
        <v>16660</v>
      </c>
      <c r="G30" s="2">
        <v>18937</v>
      </c>
      <c r="H30" s="2">
        <v>20614</v>
      </c>
    </row>
    <row r="31" spans="1:8" ht="25.5">
      <c r="A31" s="2" t="s">
        <v>136</v>
      </c>
      <c r="B31" s="2" t="s">
        <v>181</v>
      </c>
      <c r="C31" s="2" t="s">
        <v>149</v>
      </c>
      <c r="D31" s="2">
        <v>28584</v>
      </c>
      <c r="E31" s="2">
        <v>32653</v>
      </c>
      <c r="F31" s="2">
        <v>15655</v>
      </c>
      <c r="G31" s="2">
        <v>19122</v>
      </c>
      <c r="H31" s="2">
        <v>17450</v>
      </c>
    </row>
    <row r="32" spans="1:8" ht="25.5">
      <c r="A32" s="2" t="s">
        <v>136</v>
      </c>
      <c r="B32" s="2" t="s">
        <v>199</v>
      </c>
      <c r="C32" s="2" t="s">
        <v>149</v>
      </c>
      <c r="D32" s="2">
        <v>23834</v>
      </c>
      <c r="E32" s="2">
        <v>24958</v>
      </c>
      <c r="F32" s="2">
        <v>20228</v>
      </c>
      <c r="G32" s="2">
        <v>17058</v>
      </c>
      <c r="H32" s="2">
        <v>17155</v>
      </c>
    </row>
    <row r="33" spans="1:8" ht="25.5">
      <c r="A33" s="2" t="s">
        <v>136</v>
      </c>
      <c r="B33" s="2" t="s">
        <v>213</v>
      </c>
      <c r="C33" s="2" t="s">
        <v>149</v>
      </c>
      <c r="D33" s="2">
        <v>7275</v>
      </c>
      <c r="E33" s="2">
        <v>10170</v>
      </c>
      <c r="F33" s="2">
        <v>14560</v>
      </c>
      <c r="G33" s="2">
        <v>18127</v>
      </c>
      <c r="H33" s="2">
        <v>16921</v>
      </c>
    </row>
    <row r="34" spans="1:8" ht="25.5">
      <c r="A34" s="2" t="s">
        <v>136</v>
      </c>
      <c r="B34" s="2" t="s">
        <v>215</v>
      </c>
      <c r="C34" s="2" t="s">
        <v>149</v>
      </c>
      <c r="D34" s="2">
        <v>22958</v>
      </c>
      <c r="E34" s="2">
        <v>21709</v>
      </c>
      <c r="F34" s="2">
        <v>20816</v>
      </c>
      <c r="G34" s="2">
        <v>23515</v>
      </c>
      <c r="H34" s="2">
        <v>16365</v>
      </c>
    </row>
    <row r="35" spans="1:8" ht="25.5">
      <c r="A35" s="2" t="s">
        <v>136</v>
      </c>
      <c r="B35" s="2" t="s">
        <v>221</v>
      </c>
      <c r="C35" s="2" t="s">
        <v>149</v>
      </c>
      <c r="D35" s="2">
        <v>22958</v>
      </c>
      <c r="E35" s="2">
        <v>21709</v>
      </c>
      <c r="F35" s="2">
        <v>20816</v>
      </c>
      <c r="G35" s="2">
        <v>23515</v>
      </c>
      <c r="H35" s="2">
        <v>16365</v>
      </c>
    </row>
    <row r="36" spans="1:8" ht="25.5">
      <c r="A36" s="2" t="s">
        <v>136</v>
      </c>
      <c r="B36" s="2" t="s">
        <v>68</v>
      </c>
      <c r="C36" s="2" t="s">
        <v>149</v>
      </c>
      <c r="D36" s="2">
        <v>22958</v>
      </c>
      <c r="E36" s="2">
        <v>21709</v>
      </c>
      <c r="F36" s="2">
        <v>20816</v>
      </c>
      <c r="G36" s="2">
        <v>23515</v>
      </c>
      <c r="H36" s="2">
        <v>16365</v>
      </c>
    </row>
    <row r="37" spans="1:8" ht="25.5">
      <c r="A37" s="2" t="s">
        <v>136</v>
      </c>
      <c r="B37" s="2" t="s">
        <v>56</v>
      </c>
      <c r="C37" s="2" t="s">
        <v>149</v>
      </c>
      <c r="D37" s="2">
        <v>14628</v>
      </c>
      <c r="E37" s="2">
        <v>18365</v>
      </c>
      <c r="F37" s="2">
        <v>13489</v>
      </c>
      <c r="G37" s="2">
        <v>15692</v>
      </c>
      <c r="H37" s="2">
        <v>15538</v>
      </c>
    </row>
    <row r="38" spans="1:8" ht="25.5">
      <c r="A38" s="2" t="s">
        <v>136</v>
      </c>
      <c r="B38" s="2" t="s">
        <v>222</v>
      </c>
      <c r="C38" s="2" t="s">
        <v>149</v>
      </c>
      <c r="D38" s="2">
        <v>21122</v>
      </c>
      <c r="E38" s="2">
        <v>19972</v>
      </c>
      <c r="F38" s="2">
        <v>19150</v>
      </c>
      <c r="G38" s="2">
        <v>21633</v>
      </c>
      <c r="H38" s="2">
        <v>15055</v>
      </c>
    </row>
    <row r="39" spans="1:8" ht="25.5">
      <c r="A39" s="2" t="s">
        <v>136</v>
      </c>
      <c r="B39" s="2" t="s">
        <v>54</v>
      </c>
      <c r="C39" s="2" t="s">
        <v>149</v>
      </c>
      <c r="D39" s="2">
        <v>12128</v>
      </c>
      <c r="E39" s="2">
        <v>15365</v>
      </c>
      <c r="F39" s="2">
        <v>10489</v>
      </c>
      <c r="G39" s="2">
        <v>12692</v>
      </c>
      <c r="H39" s="2">
        <v>12538</v>
      </c>
    </row>
    <row r="40" spans="1:8" ht="25.5">
      <c r="A40" s="2" t="s">
        <v>135</v>
      </c>
      <c r="B40" s="2" t="s">
        <v>153</v>
      </c>
      <c r="C40" s="2" t="s">
        <v>149</v>
      </c>
      <c r="D40" s="2">
        <v>13990</v>
      </c>
      <c r="E40" s="2">
        <v>15216</v>
      </c>
      <c r="F40" s="2">
        <v>14449</v>
      </c>
      <c r="G40" s="2">
        <v>11657</v>
      </c>
      <c r="H40" s="2">
        <v>11266</v>
      </c>
    </row>
    <row r="41" spans="1:8" ht="25.5">
      <c r="A41" s="2" t="s">
        <v>135</v>
      </c>
      <c r="B41" s="2" t="s">
        <v>178</v>
      </c>
      <c r="C41" s="2" t="s">
        <v>149</v>
      </c>
      <c r="D41" s="2">
        <v>8561</v>
      </c>
      <c r="E41" s="2">
        <v>8896</v>
      </c>
      <c r="F41" s="2">
        <v>9340</v>
      </c>
      <c r="G41" s="2">
        <v>9280</v>
      </c>
      <c r="H41" s="2">
        <v>9045</v>
      </c>
    </row>
    <row r="42" spans="1:8" ht="25.5">
      <c r="A42" s="2" t="s">
        <v>136</v>
      </c>
      <c r="B42" s="2" t="s">
        <v>186</v>
      </c>
      <c r="C42" s="2" t="s">
        <v>149</v>
      </c>
      <c r="D42" s="2">
        <v>4361</v>
      </c>
      <c r="E42" s="2">
        <v>4447</v>
      </c>
      <c r="F42" s="2">
        <v>5760</v>
      </c>
      <c r="G42" s="2">
        <v>6389</v>
      </c>
      <c r="H42" s="2">
        <v>6820</v>
      </c>
    </row>
    <row r="43" spans="1:8" ht="25.5">
      <c r="A43" s="2" t="s">
        <v>135</v>
      </c>
      <c r="B43" s="2" t="s">
        <v>170</v>
      </c>
      <c r="C43" s="2" t="s">
        <v>149</v>
      </c>
      <c r="D43" s="2">
        <v>4268</v>
      </c>
      <c r="E43" s="2">
        <v>4792</v>
      </c>
      <c r="F43" s="2">
        <v>4188</v>
      </c>
      <c r="G43" s="2">
        <v>5136</v>
      </c>
      <c r="H43" s="2">
        <v>5802</v>
      </c>
    </row>
    <row r="44" spans="1:8" ht="25.5">
      <c r="A44" s="2" t="s">
        <v>136</v>
      </c>
      <c r="B44" s="2" t="s">
        <v>211</v>
      </c>
      <c r="C44" s="2" t="s">
        <v>149</v>
      </c>
      <c r="D44" s="2">
        <v>1673</v>
      </c>
      <c r="E44" s="2">
        <v>3271</v>
      </c>
      <c r="F44" s="2">
        <v>3087</v>
      </c>
      <c r="G44" s="2">
        <v>3577</v>
      </c>
      <c r="H44" s="2">
        <v>4379</v>
      </c>
    </row>
    <row r="45" spans="1:8" ht="25.5">
      <c r="A45" s="2" t="s">
        <v>135</v>
      </c>
      <c r="B45" s="2" t="s">
        <v>154</v>
      </c>
      <c r="C45" s="2" t="s">
        <v>149</v>
      </c>
      <c r="D45" s="2">
        <v>2500</v>
      </c>
      <c r="E45" s="2">
        <v>3000</v>
      </c>
      <c r="F45" s="2">
        <v>3000</v>
      </c>
      <c r="G45" s="2">
        <v>3000</v>
      </c>
      <c r="H45" s="2">
        <v>3000</v>
      </c>
    </row>
    <row r="46" spans="1:8" ht="25.5">
      <c r="A46" s="2" t="s">
        <v>136</v>
      </c>
      <c r="B46" s="2" t="s">
        <v>183</v>
      </c>
      <c r="C46" s="2" t="s">
        <v>149</v>
      </c>
      <c r="D46" s="2">
        <v>2137</v>
      </c>
      <c r="E46" s="2">
        <v>2087</v>
      </c>
      <c r="F46" s="2">
        <v>2216</v>
      </c>
      <c r="G46" s="2">
        <v>2439</v>
      </c>
      <c r="H46" s="2">
        <v>2671</v>
      </c>
    </row>
    <row r="47" spans="1:8" ht="25.5">
      <c r="A47" s="2" t="s">
        <v>136</v>
      </c>
      <c r="B47" s="2" t="s">
        <v>70</v>
      </c>
      <c r="C47" s="2" t="s">
        <v>149</v>
      </c>
      <c r="D47" s="2">
        <v>2137</v>
      </c>
      <c r="E47" s="2">
        <v>2087</v>
      </c>
      <c r="F47" s="2">
        <v>2216</v>
      </c>
      <c r="G47" s="2">
        <v>2439</v>
      </c>
      <c r="H47" s="2">
        <v>2671</v>
      </c>
    </row>
    <row r="48" spans="1:8" ht="25.5">
      <c r="A48" s="2" t="s">
        <v>136</v>
      </c>
      <c r="B48" s="2" t="s">
        <v>61</v>
      </c>
      <c r="C48" s="2" t="s">
        <v>149</v>
      </c>
      <c r="D48" s="2">
        <v>4852</v>
      </c>
      <c r="E48" s="2">
        <v>6706</v>
      </c>
      <c r="F48" s="2">
        <v>5938</v>
      </c>
      <c r="G48" s="2">
        <v>4422</v>
      </c>
      <c r="H48" s="2">
        <v>2555</v>
      </c>
    </row>
    <row r="49" spans="1:8" ht="25.5">
      <c r="A49" s="2" t="s">
        <v>136</v>
      </c>
      <c r="B49" s="2" t="s">
        <v>195</v>
      </c>
      <c r="C49" s="2" t="s">
        <v>149</v>
      </c>
      <c r="D49" s="2">
        <v>3849</v>
      </c>
      <c r="E49" s="2">
        <v>5493</v>
      </c>
      <c r="F49" s="2">
        <v>5113</v>
      </c>
      <c r="G49" s="2">
        <v>3525</v>
      </c>
      <c r="H49" s="2">
        <v>1692</v>
      </c>
    </row>
    <row r="50" spans="1:8" ht="25.5">
      <c r="A50" s="2" t="s">
        <v>135</v>
      </c>
      <c r="B50" s="2" t="s">
        <v>173</v>
      </c>
      <c r="C50" s="2" t="s">
        <v>149</v>
      </c>
      <c r="D50" s="2">
        <v>936</v>
      </c>
      <c r="E50" s="2">
        <v>891</v>
      </c>
      <c r="F50" s="2">
        <v>1020</v>
      </c>
      <c r="G50" s="2">
        <v>1187</v>
      </c>
      <c r="H50" s="2">
        <v>1167</v>
      </c>
    </row>
    <row r="51" spans="1:8" ht="25.5">
      <c r="A51" s="2" t="s">
        <v>136</v>
      </c>
      <c r="B51" s="2" t="s">
        <v>196</v>
      </c>
      <c r="C51" s="2" t="s">
        <v>149</v>
      </c>
      <c r="D51" s="2">
        <v>288</v>
      </c>
      <c r="E51" s="2">
        <v>450</v>
      </c>
      <c r="F51" s="2">
        <v>724</v>
      </c>
      <c r="G51" s="2">
        <v>933</v>
      </c>
      <c r="H51" s="2">
        <v>906</v>
      </c>
    </row>
    <row r="52" spans="1:8" ht="25.5">
      <c r="A52" s="2" t="s">
        <v>136</v>
      </c>
      <c r="B52" s="2" t="s">
        <v>214</v>
      </c>
      <c r="C52" s="2" t="s">
        <v>149</v>
      </c>
      <c r="D52" s="2">
        <v>1003</v>
      </c>
      <c r="E52" s="2">
        <v>1213</v>
      </c>
      <c r="F52" s="2">
        <v>825</v>
      </c>
      <c r="G52" s="2">
        <v>897</v>
      </c>
      <c r="H52" s="2">
        <v>863</v>
      </c>
    </row>
    <row r="53" spans="1:8" ht="25.5">
      <c r="A53" s="2" t="s">
        <v>135</v>
      </c>
      <c r="B53" s="2" t="s">
        <v>174</v>
      </c>
      <c r="C53" s="2" t="s">
        <v>149</v>
      </c>
      <c r="D53" s="2">
        <v>655</v>
      </c>
      <c r="E53" s="2">
        <v>624</v>
      </c>
      <c r="F53" s="2">
        <v>714</v>
      </c>
      <c r="G53" s="2">
        <v>831</v>
      </c>
      <c r="H53" s="2">
        <v>817</v>
      </c>
    </row>
    <row r="54" spans="1:8" ht="25.5">
      <c r="A54" s="2" t="s">
        <v>136</v>
      </c>
      <c r="B54" s="2" t="s">
        <v>187</v>
      </c>
      <c r="C54" s="2" t="s">
        <v>149</v>
      </c>
      <c r="D54" s="2">
        <v>386</v>
      </c>
      <c r="E54" s="2">
        <v>419</v>
      </c>
      <c r="F54" s="2">
        <v>507</v>
      </c>
      <c r="G54" s="2">
        <v>687</v>
      </c>
      <c r="H54" s="2">
        <v>618</v>
      </c>
    </row>
    <row r="55" spans="1:8" ht="25.5">
      <c r="A55" s="2" t="s">
        <v>135</v>
      </c>
      <c r="B55" s="2" t="s">
        <v>163</v>
      </c>
      <c r="C55" s="2" t="s">
        <v>149</v>
      </c>
      <c r="D55" s="2">
        <v>652</v>
      </c>
      <c r="E55" s="2">
        <v>646</v>
      </c>
      <c r="F55" s="2">
        <v>732</v>
      </c>
      <c r="G55" s="2">
        <v>737</v>
      </c>
      <c r="H55" s="2">
        <v>544</v>
      </c>
    </row>
    <row r="56" spans="1:8" ht="25.5">
      <c r="A56" s="2" t="s">
        <v>136</v>
      </c>
      <c r="B56" s="2" t="s">
        <v>207</v>
      </c>
      <c r="C56" s="2" t="s">
        <v>149</v>
      </c>
      <c r="D56" s="2">
        <v>187</v>
      </c>
      <c r="E56" s="2">
        <v>265</v>
      </c>
      <c r="F56" s="2">
        <v>239</v>
      </c>
      <c r="G56" s="2">
        <v>241</v>
      </c>
      <c r="H56" s="2">
        <v>228</v>
      </c>
    </row>
    <row r="57" spans="1:8" ht="25.5">
      <c r="A57" s="2" t="s">
        <v>135</v>
      </c>
      <c r="B57" s="2" t="s">
        <v>166</v>
      </c>
      <c r="C57" s="2" t="s">
        <v>149</v>
      </c>
      <c r="D57" s="2">
        <v>87</v>
      </c>
      <c r="E57" s="2">
        <v>47</v>
      </c>
      <c r="F57" s="2">
        <v>18</v>
      </c>
      <c r="G57" s="2">
        <v>6</v>
      </c>
      <c r="H57" s="2">
        <v>58</v>
      </c>
    </row>
    <row r="58" spans="1:8" ht="25.5">
      <c r="A58" s="2" t="s">
        <v>135</v>
      </c>
      <c r="B58" s="2" t="s">
        <v>159</v>
      </c>
      <c r="C58" s="2" t="s">
        <v>149</v>
      </c>
      <c r="D58" s="2">
        <v>7</v>
      </c>
      <c r="E58" s="2">
        <v>74</v>
      </c>
      <c r="F58" s="2">
        <v>23</v>
      </c>
      <c r="G58" s="2">
        <v>57</v>
      </c>
      <c r="H58" s="2">
        <v>53</v>
      </c>
    </row>
    <row r="59" spans="1:8" ht="25.5">
      <c r="A59" s="2" t="s">
        <v>135</v>
      </c>
      <c r="B59" s="2" t="s">
        <v>168</v>
      </c>
      <c r="C59" s="2" t="s">
        <v>149</v>
      </c>
      <c r="D59" s="2">
        <v>2</v>
      </c>
      <c r="E59" s="2">
        <v>3</v>
      </c>
      <c r="F59" s="2">
        <v>3</v>
      </c>
      <c r="G59" s="2">
        <v>8</v>
      </c>
      <c r="H59" s="2">
        <v>4</v>
      </c>
    </row>
    <row r="60" spans="1:8" ht="25.5">
      <c r="A60" s="2" t="s">
        <v>135</v>
      </c>
      <c r="B60" s="2" t="s">
        <v>156</v>
      </c>
      <c r="C60" s="2" t="s">
        <v>149</v>
      </c>
      <c r="D60" s="2">
        <v>0</v>
      </c>
      <c r="E60" s="2">
        <v>0</v>
      </c>
      <c r="F60" s="2">
        <v>0</v>
      </c>
      <c r="G60" s="2">
        <v>0</v>
      </c>
      <c r="H60" s="2">
        <v>0</v>
      </c>
    </row>
    <row r="61" spans="1:8" ht="25.5">
      <c r="A61" s="2" t="s">
        <v>136</v>
      </c>
      <c r="B61" s="2" t="s">
        <v>192</v>
      </c>
      <c r="C61" s="2" t="s">
        <v>149</v>
      </c>
      <c r="D61" s="2">
        <v>0</v>
      </c>
      <c r="E61" s="2">
        <v>0</v>
      </c>
      <c r="F61" s="2">
        <v>0</v>
      </c>
      <c r="G61" s="2">
        <v>0</v>
      </c>
      <c r="H61" s="2">
        <v>0</v>
      </c>
    </row>
    <row r="62" spans="1:8" ht="25.5">
      <c r="A62" s="2" t="s">
        <v>136</v>
      </c>
      <c r="B62" s="2" t="s">
        <v>197</v>
      </c>
      <c r="C62" s="2" t="s">
        <v>149</v>
      </c>
      <c r="D62" s="2">
        <v>0</v>
      </c>
      <c r="E62" s="2">
        <v>0</v>
      </c>
      <c r="F62" s="2">
        <v>0</v>
      </c>
      <c r="G62" s="2">
        <v>0</v>
      </c>
      <c r="H62" s="2">
        <v>0</v>
      </c>
    </row>
    <row r="63" spans="1:8" ht="25.5">
      <c r="A63" s="2" t="s">
        <v>136</v>
      </c>
      <c r="B63" s="2" t="s">
        <v>205</v>
      </c>
      <c r="C63" s="2" t="s">
        <v>149</v>
      </c>
      <c r="D63" s="2">
        <v>0</v>
      </c>
      <c r="E63" s="2">
        <v>0</v>
      </c>
      <c r="F63" s="2">
        <v>0</v>
      </c>
      <c r="G63" s="2">
        <v>0</v>
      </c>
      <c r="H63" s="2">
        <v>0</v>
      </c>
    </row>
  </sheetData>
  <printOptions/>
  <pageMargins left="0.787401575" right="0.787401575" top="1" bottom="1" header="0" footer="0"/>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workbookViewId="0" topLeftCell="A1"/>
  </sheetViews>
  <sheetFormatPr defaultColWidth="11.00390625" defaultRowHeight="12.75"/>
  <cols>
    <col min="1" max="1" width="20.625" style="0" customWidth="1"/>
    <col min="2" max="2" width="21.00390625" style="0" customWidth="1"/>
    <col min="3" max="3" width="9.625" style="0" customWidth="1"/>
    <col min="4" max="5" width="7.00390625" style="0" customWidth="1"/>
    <col min="6" max="6" width="6.75390625" style="0" customWidth="1"/>
    <col min="7" max="7" width="7.25390625" style="0" customWidth="1"/>
    <col min="8" max="8" width="7.125" style="0" customWidth="1"/>
  </cols>
  <sheetData>
    <row r="1" spans="1:8" ht="12.75">
      <c r="A1" s="3" t="s">
        <v>145</v>
      </c>
      <c r="B1" s="3" t="s">
        <v>146</v>
      </c>
      <c r="C1" s="3" t="s">
        <v>147</v>
      </c>
      <c r="D1" s="3">
        <v>2003</v>
      </c>
      <c r="E1" s="3">
        <v>2004</v>
      </c>
      <c r="F1" s="3">
        <v>2005</v>
      </c>
      <c r="G1" s="3">
        <v>2006</v>
      </c>
      <c r="H1" s="3">
        <v>2007</v>
      </c>
    </row>
    <row r="2" spans="1:8" ht="25.5">
      <c r="A2" s="2" t="s">
        <v>138</v>
      </c>
      <c r="B2" s="2" t="s">
        <v>57</v>
      </c>
      <c r="C2" s="2" t="s">
        <v>149</v>
      </c>
      <c r="D2" s="2">
        <v>895605</v>
      </c>
      <c r="E2" s="2">
        <v>969175</v>
      </c>
      <c r="F2" s="2">
        <v>900879</v>
      </c>
      <c r="G2" s="2">
        <v>846626</v>
      </c>
      <c r="H2" s="2">
        <v>899082</v>
      </c>
    </row>
    <row r="3" spans="1:8" ht="25.5">
      <c r="A3" s="2" t="s">
        <v>138</v>
      </c>
      <c r="B3" s="2" t="s">
        <v>72</v>
      </c>
      <c r="C3" s="2" t="s">
        <v>149</v>
      </c>
      <c r="D3" s="2">
        <v>660924</v>
      </c>
      <c r="E3" s="2">
        <v>654063</v>
      </c>
      <c r="F3" s="2">
        <v>677081</v>
      </c>
      <c r="G3" s="2">
        <v>644148</v>
      </c>
      <c r="H3" s="2">
        <v>652834</v>
      </c>
    </row>
    <row r="4" spans="1:8" ht="25.5">
      <c r="A4" s="2" t="s">
        <v>138</v>
      </c>
      <c r="B4" s="2" t="s">
        <v>53</v>
      </c>
      <c r="C4" s="2" t="s">
        <v>149</v>
      </c>
      <c r="D4" s="2">
        <v>572411</v>
      </c>
      <c r="E4" s="2">
        <v>649097</v>
      </c>
      <c r="F4" s="2">
        <v>590171</v>
      </c>
      <c r="G4" s="2">
        <v>561239</v>
      </c>
      <c r="H4" s="2">
        <v>575021</v>
      </c>
    </row>
    <row r="5" spans="1:8" ht="25.5">
      <c r="A5" s="2" t="s">
        <v>138</v>
      </c>
      <c r="B5" s="2" t="s">
        <v>52</v>
      </c>
      <c r="C5" s="2" t="s">
        <v>149</v>
      </c>
      <c r="D5" s="2">
        <v>569781</v>
      </c>
      <c r="E5" s="2">
        <v>567470</v>
      </c>
      <c r="F5" s="2">
        <v>587003</v>
      </c>
      <c r="G5" s="2">
        <v>554474</v>
      </c>
      <c r="H5" s="2">
        <v>557370</v>
      </c>
    </row>
    <row r="6" spans="1:8" ht="25.5">
      <c r="A6" s="2" t="s">
        <v>138</v>
      </c>
      <c r="B6" s="2" t="s">
        <v>198</v>
      </c>
      <c r="C6" s="2" t="s">
        <v>149</v>
      </c>
      <c r="D6" s="2">
        <v>476020</v>
      </c>
      <c r="E6" s="2">
        <v>540441</v>
      </c>
      <c r="F6" s="2">
        <v>473372</v>
      </c>
      <c r="G6" s="2">
        <v>348840</v>
      </c>
      <c r="H6" s="2">
        <v>392006</v>
      </c>
    </row>
    <row r="7" spans="1:8" ht="25.5">
      <c r="A7" s="2" t="s">
        <v>138</v>
      </c>
      <c r="B7" s="2" t="s">
        <v>62</v>
      </c>
      <c r="C7" s="2" t="s">
        <v>149</v>
      </c>
      <c r="D7" s="2">
        <v>476020</v>
      </c>
      <c r="E7" s="2">
        <v>540441</v>
      </c>
      <c r="F7" s="2">
        <v>473372</v>
      </c>
      <c r="G7" s="2">
        <v>348840</v>
      </c>
      <c r="H7" s="2">
        <v>392006</v>
      </c>
    </row>
    <row r="8" spans="1:8" ht="25.5">
      <c r="A8" s="2" t="s">
        <v>138</v>
      </c>
      <c r="B8" s="2" t="s">
        <v>58</v>
      </c>
      <c r="C8" s="2" t="s">
        <v>149</v>
      </c>
      <c r="D8" s="2">
        <v>253092</v>
      </c>
      <c r="E8" s="2">
        <v>260571</v>
      </c>
      <c r="F8" s="2">
        <v>276916</v>
      </c>
      <c r="G8" s="2">
        <v>300202</v>
      </c>
      <c r="H8" s="2">
        <v>301353</v>
      </c>
    </row>
    <row r="9" spans="1:8" ht="25.5">
      <c r="A9" s="2" t="s">
        <v>137</v>
      </c>
      <c r="B9" s="2" t="s">
        <v>152</v>
      </c>
      <c r="C9" s="2" t="s">
        <v>149</v>
      </c>
      <c r="D9" s="2">
        <v>255212</v>
      </c>
      <c r="E9" s="2">
        <v>251351</v>
      </c>
      <c r="F9" s="2">
        <v>249972</v>
      </c>
      <c r="G9" s="2">
        <v>214368</v>
      </c>
      <c r="H9" s="2">
        <v>224963</v>
      </c>
    </row>
    <row r="10" spans="1:8" ht="25.5">
      <c r="A10" s="2" t="s">
        <v>138</v>
      </c>
      <c r="B10" s="2" t="s">
        <v>216</v>
      </c>
      <c r="C10" s="2" t="s">
        <v>149</v>
      </c>
      <c r="D10" s="2">
        <v>4964</v>
      </c>
      <c r="E10" s="2">
        <v>94497</v>
      </c>
      <c r="F10" s="2">
        <v>86181</v>
      </c>
      <c r="G10" s="2">
        <v>88879</v>
      </c>
      <c r="H10" s="2">
        <v>87664</v>
      </c>
    </row>
    <row r="11" spans="1:8" ht="25.5">
      <c r="A11" s="2" t="s">
        <v>138</v>
      </c>
      <c r="B11" s="2" t="s">
        <v>69</v>
      </c>
      <c r="C11" s="2" t="s">
        <v>149</v>
      </c>
      <c r="D11" s="2">
        <v>4964</v>
      </c>
      <c r="E11" s="2">
        <v>94497</v>
      </c>
      <c r="F11" s="2">
        <v>86181</v>
      </c>
      <c r="G11" s="2">
        <v>88879</v>
      </c>
      <c r="H11" s="2">
        <v>87664</v>
      </c>
    </row>
    <row r="12" spans="1:8" ht="25.5">
      <c r="A12" s="2" t="s">
        <v>138</v>
      </c>
      <c r="B12" s="2" t="s">
        <v>204</v>
      </c>
      <c r="C12" s="2" t="s">
        <v>149</v>
      </c>
      <c r="D12" s="2">
        <v>95204</v>
      </c>
      <c r="E12" s="2">
        <v>108088</v>
      </c>
      <c r="F12" s="2">
        <v>94674</v>
      </c>
      <c r="G12" s="2">
        <v>69768</v>
      </c>
      <c r="H12" s="2">
        <v>78401</v>
      </c>
    </row>
    <row r="13" spans="1:8" ht="25.5">
      <c r="A13" s="2" t="s">
        <v>137</v>
      </c>
      <c r="B13" s="2" t="s">
        <v>151</v>
      </c>
      <c r="C13" s="2" t="s">
        <v>149</v>
      </c>
      <c r="D13" s="2">
        <v>67841</v>
      </c>
      <c r="E13" s="2">
        <v>65092</v>
      </c>
      <c r="F13" s="2">
        <v>64807</v>
      </c>
      <c r="G13" s="2">
        <v>69532</v>
      </c>
      <c r="H13" s="2">
        <v>72916</v>
      </c>
    </row>
    <row r="14" spans="1:8" ht="25.5">
      <c r="A14" s="2" t="s">
        <v>137</v>
      </c>
      <c r="B14" s="2" t="s">
        <v>169</v>
      </c>
      <c r="C14" s="2" t="s">
        <v>149</v>
      </c>
      <c r="D14" s="2">
        <v>60713</v>
      </c>
      <c r="E14" s="2">
        <v>61825</v>
      </c>
      <c r="F14" s="2">
        <v>71650</v>
      </c>
      <c r="G14" s="2">
        <v>73027</v>
      </c>
      <c r="H14" s="2">
        <v>70040</v>
      </c>
    </row>
    <row r="15" spans="1:8" ht="25.5">
      <c r="A15" s="2" t="s">
        <v>137</v>
      </c>
      <c r="B15" s="2" t="s">
        <v>188</v>
      </c>
      <c r="C15" s="2" t="s">
        <v>149</v>
      </c>
      <c r="D15" s="2">
        <v>66988</v>
      </c>
      <c r="E15" s="2">
        <v>61449</v>
      </c>
      <c r="F15" s="2">
        <v>64554</v>
      </c>
      <c r="G15" s="2">
        <v>63034</v>
      </c>
      <c r="H15" s="2">
        <v>66802</v>
      </c>
    </row>
    <row r="16" spans="1:8" ht="25.5">
      <c r="A16" s="2" t="s">
        <v>137</v>
      </c>
      <c r="B16" s="2" t="s">
        <v>150</v>
      </c>
      <c r="C16" s="2" t="s">
        <v>149</v>
      </c>
      <c r="D16" s="2">
        <v>41990</v>
      </c>
      <c r="E16" s="2">
        <v>46037</v>
      </c>
      <c r="F16" s="2">
        <v>52858</v>
      </c>
      <c r="G16" s="2">
        <v>56325</v>
      </c>
      <c r="H16" s="2">
        <v>56764</v>
      </c>
    </row>
    <row r="17" spans="1:8" ht="25.5">
      <c r="A17" s="2" t="s">
        <v>137</v>
      </c>
      <c r="B17" s="2" t="s">
        <v>189</v>
      </c>
      <c r="C17" s="2" t="s">
        <v>149</v>
      </c>
      <c r="D17" s="2">
        <v>45074</v>
      </c>
      <c r="E17" s="2">
        <v>45573</v>
      </c>
      <c r="F17" s="2">
        <v>41928</v>
      </c>
      <c r="G17" s="2">
        <v>50729</v>
      </c>
      <c r="H17" s="2">
        <v>52135</v>
      </c>
    </row>
    <row r="18" spans="1:8" ht="25.5">
      <c r="A18" s="2" t="s">
        <v>137</v>
      </c>
      <c r="B18" s="2" t="s">
        <v>184</v>
      </c>
      <c r="C18" s="2" t="s">
        <v>149</v>
      </c>
      <c r="D18" s="2">
        <v>25943</v>
      </c>
      <c r="E18" s="2">
        <v>27066</v>
      </c>
      <c r="F18" s="2">
        <v>24664</v>
      </c>
      <c r="G18" s="2">
        <v>34407</v>
      </c>
      <c r="H18" s="2">
        <v>35280</v>
      </c>
    </row>
    <row r="19" spans="1:8" ht="25.5">
      <c r="A19" s="2" t="s">
        <v>137</v>
      </c>
      <c r="B19" s="2" t="s">
        <v>171</v>
      </c>
      <c r="C19" s="2" t="s">
        <v>149</v>
      </c>
      <c r="D19" s="2">
        <v>25703</v>
      </c>
      <c r="E19" s="2">
        <v>28249</v>
      </c>
      <c r="F19" s="2">
        <v>31005</v>
      </c>
      <c r="G19" s="2">
        <v>33948</v>
      </c>
      <c r="H19" s="2">
        <v>32373</v>
      </c>
    </row>
    <row r="20" spans="1:8" ht="25.5">
      <c r="A20" s="2" t="s">
        <v>138</v>
      </c>
      <c r="B20" s="2" t="s">
        <v>206</v>
      </c>
      <c r="C20" s="2" t="s">
        <v>149</v>
      </c>
      <c r="D20" s="2">
        <v>18066</v>
      </c>
      <c r="E20" s="2">
        <v>19174</v>
      </c>
      <c r="F20" s="2">
        <v>14226</v>
      </c>
      <c r="G20" s="2">
        <v>15975</v>
      </c>
      <c r="H20" s="2">
        <v>31144</v>
      </c>
    </row>
    <row r="21" spans="1:8" ht="25.5">
      <c r="A21" s="2" t="s">
        <v>138</v>
      </c>
      <c r="B21" s="2" t="s">
        <v>51</v>
      </c>
      <c r="C21" s="2" t="s">
        <v>149</v>
      </c>
      <c r="D21" s="2">
        <v>24155</v>
      </c>
      <c r="E21" s="2">
        <v>25144</v>
      </c>
      <c r="F21" s="2">
        <v>25524</v>
      </c>
      <c r="G21" s="2">
        <v>26640</v>
      </c>
      <c r="H21" s="2">
        <v>28662</v>
      </c>
    </row>
    <row r="22" spans="1:8" ht="25.5">
      <c r="A22" s="2" t="s">
        <v>137</v>
      </c>
      <c r="B22" s="2" t="s">
        <v>179</v>
      </c>
      <c r="C22" s="2" t="s">
        <v>149</v>
      </c>
      <c r="D22" s="2">
        <v>16157</v>
      </c>
      <c r="E22" s="2">
        <v>13655</v>
      </c>
      <c r="F22" s="2">
        <v>13375</v>
      </c>
      <c r="G22" s="2">
        <v>16134</v>
      </c>
      <c r="H22" s="2">
        <v>24345</v>
      </c>
    </row>
    <row r="23" spans="1:8" ht="25.5">
      <c r="A23" s="2" t="s">
        <v>137</v>
      </c>
      <c r="B23" s="2" t="s">
        <v>158</v>
      </c>
      <c r="C23" s="2" t="s">
        <v>149</v>
      </c>
      <c r="D23" s="2">
        <v>7816</v>
      </c>
      <c r="E23" s="2">
        <v>8832</v>
      </c>
      <c r="F23" s="2">
        <v>8472</v>
      </c>
      <c r="G23" s="2">
        <v>4502</v>
      </c>
      <c r="H23" s="2">
        <v>8330</v>
      </c>
    </row>
    <row r="24" spans="1:8" ht="25.5">
      <c r="A24" s="2" t="s">
        <v>138</v>
      </c>
      <c r="B24" s="2" t="s">
        <v>60</v>
      </c>
      <c r="C24" s="2" t="s">
        <v>149</v>
      </c>
      <c r="D24" s="2">
        <v>14294</v>
      </c>
      <c r="E24" s="2">
        <v>12123</v>
      </c>
      <c r="F24" s="2">
        <v>9555</v>
      </c>
      <c r="G24" s="2">
        <v>7480</v>
      </c>
      <c r="H24" s="2">
        <v>7908</v>
      </c>
    </row>
    <row r="25" spans="1:8" ht="25.5">
      <c r="A25" s="2" t="s">
        <v>138</v>
      </c>
      <c r="B25" s="2" t="s">
        <v>196</v>
      </c>
      <c r="C25" s="2" t="s">
        <v>149</v>
      </c>
      <c r="D25" s="2">
        <v>2704</v>
      </c>
      <c r="E25" s="2">
        <v>3771</v>
      </c>
      <c r="F25" s="2">
        <v>4729</v>
      </c>
      <c r="G25" s="2">
        <v>6396</v>
      </c>
      <c r="H25" s="2">
        <v>7164</v>
      </c>
    </row>
    <row r="26" spans="1:8" ht="25.5">
      <c r="A26" s="2" t="s">
        <v>138</v>
      </c>
      <c r="B26" s="2" t="s">
        <v>71</v>
      </c>
      <c r="C26" s="2" t="s">
        <v>149</v>
      </c>
      <c r="D26" s="2">
        <v>7406</v>
      </c>
      <c r="E26" s="2">
        <v>6945</v>
      </c>
      <c r="F26" s="2">
        <v>7098</v>
      </c>
      <c r="G26" s="2">
        <v>6862</v>
      </c>
      <c r="H26" s="2">
        <v>6920</v>
      </c>
    </row>
    <row r="27" spans="1:8" ht="25.5">
      <c r="A27" s="2" t="s">
        <v>137</v>
      </c>
      <c r="B27" s="2" t="s">
        <v>178</v>
      </c>
      <c r="C27" s="2" t="s">
        <v>149</v>
      </c>
      <c r="D27" s="2">
        <v>4895</v>
      </c>
      <c r="E27" s="2">
        <v>5536</v>
      </c>
      <c r="F27" s="2">
        <v>5568</v>
      </c>
      <c r="G27" s="2">
        <v>6219</v>
      </c>
      <c r="H27" s="2">
        <v>6053</v>
      </c>
    </row>
    <row r="28" spans="1:8" ht="25.5">
      <c r="A28" s="2" t="s">
        <v>138</v>
      </c>
      <c r="B28" s="2" t="s">
        <v>193</v>
      </c>
      <c r="C28" s="2" t="s">
        <v>149</v>
      </c>
      <c r="D28" s="2">
        <v>12579</v>
      </c>
      <c r="E28" s="2">
        <v>9970</v>
      </c>
      <c r="F28" s="2">
        <v>7316</v>
      </c>
      <c r="G28" s="2">
        <v>5040</v>
      </c>
      <c r="H28" s="2">
        <v>4978</v>
      </c>
    </row>
    <row r="29" spans="1:8" ht="25.5">
      <c r="A29" s="2" t="s">
        <v>138</v>
      </c>
      <c r="B29" s="2" t="s">
        <v>59</v>
      </c>
      <c r="C29" s="2" t="s">
        <v>149</v>
      </c>
      <c r="D29" s="2">
        <v>3303</v>
      </c>
      <c r="E29" s="2">
        <v>3666</v>
      </c>
      <c r="F29" s="2">
        <v>4192</v>
      </c>
      <c r="G29" s="2">
        <v>3580</v>
      </c>
      <c r="H29" s="2">
        <v>4395</v>
      </c>
    </row>
    <row r="30" spans="1:8" ht="25.5">
      <c r="A30" s="2" t="s">
        <v>138</v>
      </c>
      <c r="B30" s="2" t="s">
        <v>212</v>
      </c>
      <c r="C30" s="2" t="s">
        <v>149</v>
      </c>
      <c r="D30" s="2">
        <v>7406</v>
      </c>
      <c r="E30" s="2">
        <v>3186</v>
      </c>
      <c r="F30" s="2">
        <v>4350</v>
      </c>
      <c r="G30" s="2">
        <v>4227</v>
      </c>
      <c r="H30" s="2">
        <v>4318</v>
      </c>
    </row>
    <row r="31" spans="1:8" ht="25.5">
      <c r="A31" s="2" t="s">
        <v>137</v>
      </c>
      <c r="B31" s="2" t="s">
        <v>170</v>
      </c>
      <c r="C31" s="2" t="s">
        <v>149</v>
      </c>
      <c r="D31" s="2">
        <v>3528</v>
      </c>
      <c r="E31" s="2">
        <v>3812</v>
      </c>
      <c r="F31" s="2">
        <v>3507</v>
      </c>
      <c r="G31" s="2">
        <v>3251</v>
      </c>
      <c r="H31" s="2">
        <v>3022</v>
      </c>
    </row>
    <row r="32" spans="1:8" ht="25.5">
      <c r="A32" s="2" t="s">
        <v>137</v>
      </c>
      <c r="B32" s="2" t="s">
        <v>173</v>
      </c>
      <c r="C32" s="2" t="s">
        <v>149</v>
      </c>
      <c r="D32" s="2">
        <v>2894</v>
      </c>
      <c r="E32" s="2">
        <v>2780</v>
      </c>
      <c r="F32" s="2">
        <v>3265</v>
      </c>
      <c r="G32" s="2">
        <v>2585</v>
      </c>
      <c r="H32" s="2">
        <v>2750</v>
      </c>
    </row>
    <row r="33" spans="1:8" ht="25.5">
      <c r="A33" s="2" t="s">
        <v>137</v>
      </c>
      <c r="B33" s="2" t="s">
        <v>183</v>
      </c>
      <c r="C33" s="2" t="s">
        <v>149</v>
      </c>
      <c r="D33" s="2">
        <v>801</v>
      </c>
      <c r="E33" s="2">
        <v>916</v>
      </c>
      <c r="F33" s="2">
        <v>1557</v>
      </c>
      <c r="G33" s="2">
        <v>1918</v>
      </c>
      <c r="H33" s="2">
        <v>2057</v>
      </c>
    </row>
    <row r="34" spans="1:8" ht="25.5">
      <c r="A34" s="2" t="s">
        <v>138</v>
      </c>
      <c r="B34" s="2" t="s">
        <v>70</v>
      </c>
      <c r="C34" s="2" t="s">
        <v>149</v>
      </c>
      <c r="D34" s="2">
        <v>801</v>
      </c>
      <c r="E34" s="2">
        <v>916</v>
      </c>
      <c r="F34" s="2">
        <v>1557</v>
      </c>
      <c r="G34" s="2">
        <v>1918</v>
      </c>
      <c r="H34" s="2">
        <v>2057</v>
      </c>
    </row>
    <row r="35" spans="1:8" ht="25.5">
      <c r="A35" s="2" t="s">
        <v>138</v>
      </c>
      <c r="B35" s="2" t="s">
        <v>201</v>
      </c>
      <c r="C35" s="2" t="s">
        <v>149</v>
      </c>
      <c r="D35" s="2">
        <v>1200</v>
      </c>
      <c r="E35" s="2">
        <v>1600</v>
      </c>
      <c r="F35" s="2">
        <v>1700</v>
      </c>
      <c r="G35" s="2">
        <v>1500</v>
      </c>
      <c r="H35" s="2">
        <v>2000</v>
      </c>
    </row>
    <row r="36" spans="1:8" ht="25.5">
      <c r="A36" s="2" t="s">
        <v>137</v>
      </c>
      <c r="B36" s="2" t="s">
        <v>174</v>
      </c>
      <c r="C36" s="2" t="s">
        <v>149</v>
      </c>
      <c r="D36" s="2">
        <v>2026</v>
      </c>
      <c r="E36" s="2">
        <v>1946</v>
      </c>
      <c r="F36" s="2">
        <v>2286</v>
      </c>
      <c r="G36" s="2">
        <v>1809</v>
      </c>
      <c r="H36" s="2">
        <v>1925</v>
      </c>
    </row>
    <row r="37" spans="1:8" ht="25.5">
      <c r="A37" s="2" t="s">
        <v>137</v>
      </c>
      <c r="B37" s="2" t="s">
        <v>153</v>
      </c>
      <c r="C37" s="2" t="s">
        <v>149</v>
      </c>
      <c r="D37" s="2">
        <v>1514</v>
      </c>
      <c r="E37" s="2">
        <v>1413</v>
      </c>
      <c r="F37" s="2">
        <v>1535</v>
      </c>
      <c r="G37" s="2">
        <v>1557</v>
      </c>
      <c r="H37" s="2">
        <v>1883</v>
      </c>
    </row>
    <row r="38" spans="1:8" ht="25.5">
      <c r="A38" s="2" t="s">
        <v>138</v>
      </c>
      <c r="B38" s="2" t="s">
        <v>46</v>
      </c>
      <c r="C38" s="2" t="s">
        <v>149</v>
      </c>
      <c r="D38" s="2">
        <v>0</v>
      </c>
      <c r="E38" s="2">
        <v>1624</v>
      </c>
      <c r="F38" s="2">
        <v>0</v>
      </c>
      <c r="G38" s="2">
        <v>0</v>
      </c>
      <c r="H38" s="2">
        <v>1661</v>
      </c>
    </row>
    <row r="39" spans="1:8" ht="25.5">
      <c r="A39" s="2" t="s">
        <v>138</v>
      </c>
      <c r="B39" s="2" t="s">
        <v>199</v>
      </c>
      <c r="C39" s="2" t="s">
        <v>149</v>
      </c>
      <c r="D39" s="2">
        <v>201</v>
      </c>
      <c r="E39" s="2">
        <v>740</v>
      </c>
      <c r="F39" s="2">
        <v>704</v>
      </c>
      <c r="G39" s="2">
        <v>883</v>
      </c>
      <c r="H39" s="2">
        <v>1047</v>
      </c>
    </row>
    <row r="40" spans="1:8" ht="25.5">
      <c r="A40" s="2" t="s">
        <v>137</v>
      </c>
      <c r="B40" s="2" t="s">
        <v>168</v>
      </c>
      <c r="C40" s="2" t="s">
        <v>149</v>
      </c>
      <c r="D40" s="2">
        <v>641</v>
      </c>
      <c r="E40" s="2">
        <v>660</v>
      </c>
      <c r="F40" s="2">
        <v>811</v>
      </c>
      <c r="G40" s="2">
        <v>733</v>
      </c>
      <c r="H40" s="2">
        <v>758</v>
      </c>
    </row>
    <row r="41" spans="1:8" ht="25.5">
      <c r="A41" s="2" t="s">
        <v>137</v>
      </c>
      <c r="B41" s="2" t="s">
        <v>185</v>
      </c>
      <c r="C41" s="2" t="s">
        <v>149</v>
      </c>
      <c r="D41" s="2">
        <v>0</v>
      </c>
      <c r="E41" s="2">
        <v>269</v>
      </c>
      <c r="F41" s="2">
        <v>0</v>
      </c>
      <c r="G41" s="2">
        <v>560</v>
      </c>
      <c r="H41" s="2">
        <v>681</v>
      </c>
    </row>
    <row r="42" spans="1:8" ht="25.5">
      <c r="A42" s="2" t="s">
        <v>138</v>
      </c>
      <c r="B42" s="2" t="s">
        <v>213</v>
      </c>
      <c r="C42" s="2" t="s">
        <v>149</v>
      </c>
      <c r="D42" s="2">
        <v>0</v>
      </c>
      <c r="E42" s="2">
        <v>14</v>
      </c>
      <c r="F42" s="2">
        <v>113</v>
      </c>
      <c r="G42" s="2">
        <v>166</v>
      </c>
      <c r="H42" s="2">
        <v>340</v>
      </c>
    </row>
    <row r="43" spans="1:8" ht="25.5">
      <c r="A43" s="2" t="s">
        <v>137</v>
      </c>
      <c r="B43" s="2" t="s">
        <v>162</v>
      </c>
      <c r="C43" s="2" t="s">
        <v>149</v>
      </c>
      <c r="D43" s="2">
        <v>0</v>
      </c>
      <c r="E43" s="2">
        <v>1071</v>
      </c>
      <c r="F43" s="2">
        <v>1099</v>
      </c>
      <c r="G43" s="2">
        <v>988</v>
      </c>
      <c r="H43" s="2">
        <v>260</v>
      </c>
    </row>
    <row r="44" spans="1:8" ht="25.5">
      <c r="A44" s="2" t="s">
        <v>137</v>
      </c>
      <c r="B44" s="2" t="s">
        <v>159</v>
      </c>
      <c r="C44" s="2" t="s">
        <v>149</v>
      </c>
      <c r="D44" s="2">
        <v>3</v>
      </c>
      <c r="E44" s="2">
        <v>16</v>
      </c>
      <c r="F44" s="2">
        <v>53</v>
      </c>
      <c r="G44" s="2">
        <v>42</v>
      </c>
      <c r="H44" s="2">
        <v>128</v>
      </c>
    </row>
    <row r="45" spans="1:8" ht="25.5">
      <c r="A45" s="2" t="s">
        <v>137</v>
      </c>
      <c r="B45" s="2" t="s">
        <v>186</v>
      </c>
      <c r="C45" s="2" t="s">
        <v>149</v>
      </c>
      <c r="D45" s="2">
        <v>67</v>
      </c>
      <c r="E45" s="2">
        <v>98</v>
      </c>
      <c r="F45" s="2">
        <v>86</v>
      </c>
      <c r="G45" s="2">
        <v>98</v>
      </c>
      <c r="H45" s="2">
        <v>121</v>
      </c>
    </row>
    <row r="46" spans="1:8" ht="25.5">
      <c r="A46" s="2" t="s">
        <v>137</v>
      </c>
      <c r="B46" s="2" t="s">
        <v>163</v>
      </c>
      <c r="C46" s="2" t="s">
        <v>149</v>
      </c>
      <c r="D46" s="2">
        <v>10</v>
      </c>
      <c r="E46" s="2">
        <v>8</v>
      </c>
      <c r="F46" s="2">
        <v>7</v>
      </c>
      <c r="G46" s="2">
        <v>7</v>
      </c>
      <c r="H46" s="2">
        <v>9</v>
      </c>
    </row>
    <row r="47" spans="1:8" ht="25.5">
      <c r="A47" s="2" t="s">
        <v>138</v>
      </c>
      <c r="B47" s="2" t="s">
        <v>191</v>
      </c>
      <c r="C47" s="2" t="s">
        <v>149</v>
      </c>
      <c r="D47" s="2">
        <v>0</v>
      </c>
      <c r="E47" s="2">
        <v>795</v>
      </c>
      <c r="F47" s="2">
        <v>1649</v>
      </c>
      <c r="G47" s="2">
        <v>1087</v>
      </c>
      <c r="H47" s="2">
        <v>0</v>
      </c>
    </row>
    <row r="48" spans="1:8" ht="25.5">
      <c r="A48" s="2" t="s">
        <v>137</v>
      </c>
      <c r="B48" s="2" t="s">
        <v>167</v>
      </c>
      <c r="C48" s="2" t="s">
        <v>149</v>
      </c>
      <c r="D48" s="2">
        <v>0</v>
      </c>
      <c r="E48" s="2">
        <v>0</v>
      </c>
      <c r="F48" s="2">
        <v>0</v>
      </c>
      <c r="G48" s="2">
        <v>0</v>
      </c>
      <c r="H48" s="2">
        <v>0</v>
      </c>
    </row>
    <row r="49" spans="1:8" ht="25.5">
      <c r="A49" s="2" t="s">
        <v>137</v>
      </c>
      <c r="B49" s="2" t="s">
        <v>172</v>
      </c>
      <c r="C49" s="2" t="s">
        <v>149</v>
      </c>
      <c r="D49" s="2">
        <v>0</v>
      </c>
      <c r="E49" s="2">
        <v>0</v>
      </c>
      <c r="F49" s="2">
        <v>0</v>
      </c>
      <c r="G49" s="2">
        <v>0</v>
      </c>
      <c r="H49" s="2">
        <v>0</v>
      </c>
    </row>
    <row r="50" spans="1:8" ht="25.5">
      <c r="A50" s="2" t="s">
        <v>138</v>
      </c>
      <c r="B50" s="2" t="s">
        <v>190</v>
      </c>
      <c r="C50" s="2" t="s">
        <v>149</v>
      </c>
      <c r="D50" s="2">
        <v>0</v>
      </c>
      <c r="E50" s="2">
        <v>0</v>
      </c>
      <c r="F50" s="2">
        <v>0</v>
      </c>
      <c r="G50" s="2">
        <v>0</v>
      </c>
      <c r="H50" s="2">
        <v>0</v>
      </c>
    </row>
    <row r="51" spans="1:8" ht="25.5">
      <c r="A51" s="2" t="s">
        <v>138</v>
      </c>
      <c r="B51" s="2" t="s">
        <v>200</v>
      </c>
      <c r="C51" s="2" t="s">
        <v>149</v>
      </c>
      <c r="D51" s="2">
        <v>0</v>
      </c>
      <c r="E51" s="2">
        <v>0</v>
      </c>
      <c r="F51" s="2">
        <v>0</v>
      </c>
      <c r="G51" s="2">
        <v>0</v>
      </c>
      <c r="H51" s="2">
        <v>0</v>
      </c>
    </row>
  </sheetData>
  <printOptions/>
  <pageMargins left="0.787401575" right="0.787401575" top="1" bottom="1" header="0" footer="0"/>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workbookViewId="0" topLeftCell="A1"/>
  </sheetViews>
  <sheetFormatPr defaultColWidth="11.00390625" defaultRowHeight="12.75"/>
  <cols>
    <col min="1" max="1" width="18.375" style="0" customWidth="1"/>
    <col min="2" max="2" width="21.00390625" style="0" customWidth="1"/>
    <col min="3" max="3" width="9.625" style="0" customWidth="1"/>
    <col min="4" max="5" width="8.00390625" style="0" customWidth="1"/>
    <col min="6" max="7" width="7.375" style="0" customWidth="1"/>
    <col min="8" max="8" width="7.875" style="0" customWidth="1"/>
  </cols>
  <sheetData>
    <row r="1" spans="1:8" ht="12.75">
      <c r="A1" s="3" t="s">
        <v>145</v>
      </c>
      <c r="B1" s="3" t="s">
        <v>146</v>
      </c>
      <c r="C1" s="3" t="s">
        <v>147</v>
      </c>
      <c r="D1" s="3">
        <v>2003</v>
      </c>
      <c r="E1" s="3">
        <v>2004</v>
      </c>
      <c r="F1" s="3">
        <v>2005</v>
      </c>
      <c r="G1" s="3">
        <v>2006</v>
      </c>
      <c r="H1" s="3">
        <v>2007</v>
      </c>
    </row>
    <row r="2" spans="1:8" ht="25.5">
      <c r="A2" s="2" t="s">
        <v>140</v>
      </c>
      <c r="B2" s="2" t="s">
        <v>72</v>
      </c>
      <c r="C2" s="2" t="s">
        <v>149</v>
      </c>
      <c r="D2" s="2">
        <v>3826745</v>
      </c>
      <c r="E2" s="2">
        <v>4079818</v>
      </c>
      <c r="F2" s="2">
        <v>4083689</v>
      </c>
      <c r="G2" s="2">
        <v>3520865</v>
      </c>
      <c r="H2" s="2">
        <v>3572541</v>
      </c>
    </row>
    <row r="3" spans="1:8" ht="25.5">
      <c r="A3" s="2" t="s">
        <v>140</v>
      </c>
      <c r="B3" s="2" t="s">
        <v>52</v>
      </c>
      <c r="C3" s="2" t="s">
        <v>149</v>
      </c>
      <c r="D3" s="2">
        <v>2711312</v>
      </c>
      <c r="E3" s="2">
        <v>2700389</v>
      </c>
      <c r="F3" s="2">
        <v>2688026</v>
      </c>
      <c r="G3" s="2">
        <v>2699025</v>
      </c>
      <c r="H3" s="2">
        <v>2612952</v>
      </c>
    </row>
    <row r="4" spans="1:8" ht="25.5">
      <c r="A4" s="2" t="s">
        <v>140</v>
      </c>
      <c r="B4" s="2" t="s">
        <v>58</v>
      </c>
      <c r="C4" s="2" t="s">
        <v>149</v>
      </c>
      <c r="D4" s="2">
        <v>2226122</v>
      </c>
      <c r="E4" s="2">
        <v>2331859</v>
      </c>
      <c r="F4" s="2">
        <v>2421551</v>
      </c>
      <c r="G4" s="2">
        <v>2462539</v>
      </c>
      <c r="H4" s="2">
        <v>2121492</v>
      </c>
    </row>
    <row r="5" spans="1:8" ht="25.5">
      <c r="A5" s="2" t="s">
        <v>140</v>
      </c>
      <c r="B5" s="2" t="s">
        <v>57</v>
      </c>
      <c r="C5" s="2" t="s">
        <v>149</v>
      </c>
      <c r="D5" s="2">
        <v>1166664</v>
      </c>
      <c r="E5" s="2">
        <v>1481379</v>
      </c>
      <c r="F5" s="2">
        <v>1404353</v>
      </c>
      <c r="G5" s="2">
        <v>1364068</v>
      </c>
      <c r="H5" s="2">
        <v>1303418</v>
      </c>
    </row>
    <row r="6" spans="1:8" ht="25.5">
      <c r="A6" s="2" t="s">
        <v>140</v>
      </c>
      <c r="B6" s="2" t="s">
        <v>51</v>
      </c>
      <c r="C6" s="2" t="s">
        <v>149</v>
      </c>
      <c r="D6" s="2">
        <v>937341</v>
      </c>
      <c r="E6" s="2">
        <v>1180820</v>
      </c>
      <c r="F6" s="2">
        <v>1211223</v>
      </c>
      <c r="G6" s="2">
        <v>624475</v>
      </c>
      <c r="H6" s="2">
        <v>754148</v>
      </c>
    </row>
    <row r="7" spans="1:8" ht="25.5">
      <c r="A7" s="2" t="s">
        <v>139</v>
      </c>
      <c r="B7" s="2" t="s">
        <v>169</v>
      </c>
      <c r="C7" s="2" t="s">
        <v>149</v>
      </c>
      <c r="D7" s="2">
        <v>643501</v>
      </c>
      <c r="E7" s="2">
        <v>728721</v>
      </c>
      <c r="F7" s="2">
        <v>725956</v>
      </c>
      <c r="G7" s="2">
        <v>735116</v>
      </c>
      <c r="H7" s="2">
        <v>663171</v>
      </c>
    </row>
    <row r="8" spans="1:8" ht="25.5">
      <c r="A8" s="2" t="s">
        <v>139</v>
      </c>
      <c r="B8" s="2" t="s">
        <v>179</v>
      </c>
      <c r="C8" s="2" t="s">
        <v>149</v>
      </c>
      <c r="D8" s="2">
        <v>549361</v>
      </c>
      <c r="E8" s="2">
        <v>685612</v>
      </c>
      <c r="F8" s="2">
        <v>734572</v>
      </c>
      <c r="G8" s="2">
        <v>691514</v>
      </c>
      <c r="H8" s="2">
        <v>591625</v>
      </c>
    </row>
    <row r="9" spans="1:8" ht="25.5">
      <c r="A9" s="2" t="s">
        <v>140</v>
      </c>
      <c r="B9" s="2" t="s">
        <v>189</v>
      </c>
      <c r="C9" s="2" t="s">
        <v>149</v>
      </c>
      <c r="D9" s="2">
        <v>656015</v>
      </c>
      <c r="E9" s="2">
        <v>616246</v>
      </c>
      <c r="F9" s="2">
        <v>634145</v>
      </c>
      <c r="G9" s="2">
        <v>749724</v>
      </c>
      <c r="H9" s="2">
        <v>583614</v>
      </c>
    </row>
    <row r="10" spans="1:8" ht="25.5">
      <c r="A10" s="2" t="s">
        <v>140</v>
      </c>
      <c r="B10" s="2" t="s">
        <v>53</v>
      </c>
      <c r="C10" s="2" t="s">
        <v>149</v>
      </c>
      <c r="D10" s="2">
        <v>421837</v>
      </c>
      <c r="E10" s="2">
        <v>550684</v>
      </c>
      <c r="F10" s="2">
        <v>516947</v>
      </c>
      <c r="G10" s="2">
        <v>483890</v>
      </c>
      <c r="H10" s="2">
        <v>504246</v>
      </c>
    </row>
    <row r="11" spans="1:8" ht="25.5">
      <c r="A11" s="2" t="s">
        <v>139</v>
      </c>
      <c r="B11" s="2" t="s">
        <v>150</v>
      </c>
      <c r="C11" s="2" t="s">
        <v>149</v>
      </c>
      <c r="D11" s="2">
        <v>418344</v>
      </c>
      <c r="E11" s="2">
        <v>435727</v>
      </c>
      <c r="F11" s="2">
        <v>434732</v>
      </c>
      <c r="G11" s="2">
        <v>414437</v>
      </c>
      <c r="H11" s="2">
        <v>438726</v>
      </c>
    </row>
    <row r="12" spans="1:8" ht="25.5">
      <c r="A12" s="2" t="s">
        <v>140</v>
      </c>
      <c r="B12" s="2" t="s">
        <v>62</v>
      </c>
      <c r="C12" s="2" t="s">
        <v>149</v>
      </c>
      <c r="D12" s="2">
        <v>367070</v>
      </c>
      <c r="E12" s="2">
        <v>420018</v>
      </c>
      <c r="F12" s="2">
        <v>352233</v>
      </c>
      <c r="G12" s="2">
        <v>348841</v>
      </c>
      <c r="H12" s="2">
        <v>352649</v>
      </c>
    </row>
    <row r="13" spans="1:8" ht="25.5">
      <c r="A13" s="2" t="s">
        <v>140</v>
      </c>
      <c r="B13" s="2" t="s">
        <v>198</v>
      </c>
      <c r="C13" s="2" t="s">
        <v>149</v>
      </c>
      <c r="D13" s="2">
        <v>362912</v>
      </c>
      <c r="E13" s="2">
        <v>414253</v>
      </c>
      <c r="F13" s="2">
        <v>346618</v>
      </c>
      <c r="G13" s="2">
        <v>343113</v>
      </c>
      <c r="H13" s="2">
        <v>347186</v>
      </c>
    </row>
    <row r="14" spans="1:8" ht="25.5">
      <c r="A14" s="2" t="s">
        <v>140</v>
      </c>
      <c r="B14" s="2" t="s">
        <v>59</v>
      </c>
      <c r="C14" s="2" t="s">
        <v>149</v>
      </c>
      <c r="D14" s="2">
        <v>119949</v>
      </c>
      <c r="E14" s="2">
        <v>144508</v>
      </c>
      <c r="F14" s="2">
        <v>137966</v>
      </c>
      <c r="G14" s="2">
        <v>132706</v>
      </c>
      <c r="H14" s="2">
        <v>220970</v>
      </c>
    </row>
    <row r="15" spans="1:8" ht="25.5">
      <c r="A15" s="2" t="s">
        <v>140</v>
      </c>
      <c r="B15" s="2" t="s">
        <v>188</v>
      </c>
      <c r="C15" s="2" t="s">
        <v>149</v>
      </c>
      <c r="D15" s="2">
        <v>178092</v>
      </c>
      <c r="E15" s="2">
        <v>198609</v>
      </c>
      <c r="F15" s="2">
        <v>184440</v>
      </c>
      <c r="G15" s="2">
        <v>197365</v>
      </c>
      <c r="H15" s="2">
        <v>205441</v>
      </c>
    </row>
    <row r="16" spans="1:8" ht="25.5">
      <c r="A16" s="2" t="s">
        <v>139</v>
      </c>
      <c r="B16" s="2" t="s">
        <v>151</v>
      </c>
      <c r="C16" s="2" t="s">
        <v>149</v>
      </c>
      <c r="D16" s="2">
        <v>100899</v>
      </c>
      <c r="E16" s="2">
        <v>111889</v>
      </c>
      <c r="F16" s="2">
        <v>101105</v>
      </c>
      <c r="G16" s="2">
        <v>143605</v>
      </c>
      <c r="H16" s="2">
        <v>202419</v>
      </c>
    </row>
    <row r="17" spans="1:8" ht="25.5">
      <c r="A17" s="2" t="s">
        <v>139</v>
      </c>
      <c r="B17" s="2" t="s">
        <v>171</v>
      </c>
      <c r="C17" s="2" t="s">
        <v>149</v>
      </c>
      <c r="D17" s="2">
        <v>262819</v>
      </c>
      <c r="E17" s="2">
        <v>293062</v>
      </c>
      <c r="F17" s="2">
        <v>384940</v>
      </c>
      <c r="G17" s="2">
        <v>298043</v>
      </c>
      <c r="H17" s="2">
        <v>145204</v>
      </c>
    </row>
    <row r="18" spans="1:8" ht="25.5">
      <c r="A18" s="2" t="s">
        <v>140</v>
      </c>
      <c r="B18" s="2" t="s">
        <v>213</v>
      </c>
      <c r="C18" s="2" t="s">
        <v>149</v>
      </c>
      <c r="D18" s="2">
        <v>40269</v>
      </c>
      <c r="E18" s="2">
        <v>63302</v>
      </c>
      <c r="F18" s="2">
        <v>52791</v>
      </c>
      <c r="G18" s="2">
        <v>55145</v>
      </c>
      <c r="H18" s="2">
        <v>135260</v>
      </c>
    </row>
    <row r="19" spans="1:8" ht="25.5">
      <c r="A19" s="2" t="s">
        <v>139</v>
      </c>
      <c r="B19" s="2" t="s">
        <v>152</v>
      </c>
      <c r="C19" s="2" t="s">
        <v>149</v>
      </c>
      <c r="D19" s="2">
        <v>82851</v>
      </c>
      <c r="E19" s="2">
        <v>96418</v>
      </c>
      <c r="F19" s="2">
        <v>90046</v>
      </c>
      <c r="G19" s="2">
        <v>114600</v>
      </c>
      <c r="H19" s="2">
        <v>123158</v>
      </c>
    </row>
    <row r="20" spans="1:8" ht="25.5">
      <c r="A20" s="2" t="s">
        <v>140</v>
      </c>
      <c r="B20" s="2" t="s">
        <v>56</v>
      </c>
      <c r="C20" s="2" t="s">
        <v>149</v>
      </c>
      <c r="D20" s="2">
        <v>112182</v>
      </c>
      <c r="E20" s="2">
        <v>118743</v>
      </c>
      <c r="F20" s="2">
        <v>113839</v>
      </c>
      <c r="G20" s="2">
        <v>98703</v>
      </c>
      <c r="H20" s="2">
        <v>87553</v>
      </c>
    </row>
    <row r="21" spans="1:8" ht="25.5">
      <c r="A21" s="2" t="s">
        <v>140</v>
      </c>
      <c r="B21" s="2" t="s">
        <v>54</v>
      </c>
      <c r="C21" s="2" t="s">
        <v>149</v>
      </c>
      <c r="D21" s="2">
        <v>93248</v>
      </c>
      <c r="E21" s="2">
        <v>100909</v>
      </c>
      <c r="F21" s="2">
        <v>95946</v>
      </c>
      <c r="G21" s="2">
        <v>88703</v>
      </c>
      <c r="H21" s="2">
        <v>77553</v>
      </c>
    </row>
    <row r="22" spans="1:8" ht="25.5">
      <c r="A22" s="2" t="s">
        <v>140</v>
      </c>
      <c r="B22" s="2" t="s">
        <v>60</v>
      </c>
      <c r="C22" s="2" t="s">
        <v>149</v>
      </c>
      <c r="D22" s="2">
        <v>83636</v>
      </c>
      <c r="E22" s="2">
        <v>119086</v>
      </c>
      <c r="F22" s="2">
        <v>120637</v>
      </c>
      <c r="G22" s="2">
        <v>100048</v>
      </c>
      <c r="H22" s="2">
        <v>77013</v>
      </c>
    </row>
    <row r="23" spans="1:8" ht="25.5">
      <c r="A23" s="2" t="s">
        <v>140</v>
      </c>
      <c r="B23" s="2" t="s">
        <v>204</v>
      </c>
      <c r="C23" s="2" t="s">
        <v>149</v>
      </c>
      <c r="D23" s="2">
        <v>73660</v>
      </c>
      <c r="E23" s="2">
        <v>84346</v>
      </c>
      <c r="F23" s="2">
        <v>70780</v>
      </c>
      <c r="G23" s="2">
        <v>70108</v>
      </c>
      <c r="H23" s="2">
        <v>70853</v>
      </c>
    </row>
    <row r="24" spans="1:8" ht="25.5">
      <c r="A24" s="2" t="s">
        <v>139</v>
      </c>
      <c r="B24" s="2" t="s">
        <v>178</v>
      </c>
      <c r="C24" s="2" t="s">
        <v>149</v>
      </c>
      <c r="D24" s="2">
        <v>126998</v>
      </c>
      <c r="E24" s="2">
        <v>126117</v>
      </c>
      <c r="F24" s="2">
        <v>119196</v>
      </c>
      <c r="G24" s="2">
        <v>98305</v>
      </c>
      <c r="H24" s="2">
        <v>60505</v>
      </c>
    </row>
    <row r="25" spans="1:8" ht="25.5">
      <c r="A25" s="2" t="s">
        <v>139</v>
      </c>
      <c r="B25" s="2" t="s">
        <v>184</v>
      </c>
      <c r="C25" s="2" t="s">
        <v>149</v>
      </c>
      <c r="D25" s="2">
        <v>89405</v>
      </c>
      <c r="E25" s="2">
        <v>127458</v>
      </c>
      <c r="F25" s="2">
        <v>42453</v>
      </c>
      <c r="G25" s="2">
        <v>51393</v>
      </c>
      <c r="H25" s="2">
        <v>58203</v>
      </c>
    </row>
    <row r="26" spans="1:8" ht="25.5">
      <c r="A26" s="2" t="s">
        <v>140</v>
      </c>
      <c r="B26" s="2" t="s">
        <v>216</v>
      </c>
      <c r="C26" s="2" t="s">
        <v>149</v>
      </c>
      <c r="D26" s="2">
        <v>220000</v>
      </c>
      <c r="E26" s="2">
        <v>200000</v>
      </c>
      <c r="F26" s="2">
        <v>400000</v>
      </c>
      <c r="G26" s="2">
        <v>50016</v>
      </c>
      <c r="H26" s="2">
        <v>50000</v>
      </c>
    </row>
    <row r="27" spans="1:8" ht="25.5">
      <c r="A27" s="2" t="s">
        <v>140</v>
      </c>
      <c r="B27" s="2" t="s">
        <v>69</v>
      </c>
      <c r="C27" s="2" t="s">
        <v>149</v>
      </c>
      <c r="D27" s="2">
        <v>220000</v>
      </c>
      <c r="E27" s="2">
        <v>200000</v>
      </c>
      <c r="F27" s="2">
        <v>400000</v>
      </c>
      <c r="G27" s="2">
        <v>50016</v>
      </c>
      <c r="H27" s="2">
        <v>50000</v>
      </c>
    </row>
    <row r="28" spans="1:8" ht="25.5">
      <c r="A28" s="2" t="s">
        <v>140</v>
      </c>
      <c r="B28" s="2" t="s">
        <v>187</v>
      </c>
      <c r="C28" s="2" t="s">
        <v>149</v>
      </c>
      <c r="D28" s="2">
        <v>43825</v>
      </c>
      <c r="E28" s="2">
        <v>39969</v>
      </c>
      <c r="F28" s="2">
        <v>42129</v>
      </c>
      <c r="G28" s="2">
        <v>35923</v>
      </c>
      <c r="H28" s="2">
        <v>44920</v>
      </c>
    </row>
    <row r="29" spans="1:8" ht="25.5">
      <c r="A29" s="2" t="s">
        <v>140</v>
      </c>
      <c r="B29" s="2" t="s">
        <v>193</v>
      </c>
      <c r="C29" s="2" t="s">
        <v>149</v>
      </c>
      <c r="D29" s="2">
        <v>22541</v>
      </c>
      <c r="E29" s="2">
        <v>54417</v>
      </c>
      <c r="F29" s="2">
        <v>66433</v>
      </c>
      <c r="G29" s="2">
        <v>48036</v>
      </c>
      <c r="H29" s="2">
        <v>30173</v>
      </c>
    </row>
    <row r="30" spans="1:8" ht="25.5">
      <c r="A30" s="2" t="s">
        <v>140</v>
      </c>
      <c r="B30" s="2" t="s">
        <v>199</v>
      </c>
      <c r="C30" s="2" t="s">
        <v>149</v>
      </c>
      <c r="D30" s="2">
        <v>36491</v>
      </c>
      <c r="E30" s="2">
        <v>36693</v>
      </c>
      <c r="F30" s="2">
        <v>27265</v>
      </c>
      <c r="G30" s="2">
        <v>28387</v>
      </c>
      <c r="H30" s="2">
        <v>26216</v>
      </c>
    </row>
    <row r="31" spans="1:8" ht="25.5">
      <c r="A31" s="2" t="s">
        <v>140</v>
      </c>
      <c r="B31" s="2" t="s">
        <v>67</v>
      </c>
      <c r="C31" s="2" t="s">
        <v>149</v>
      </c>
      <c r="D31" s="2">
        <v>22742</v>
      </c>
      <c r="E31" s="2">
        <v>22610</v>
      </c>
      <c r="F31" s="2">
        <v>24111</v>
      </c>
      <c r="G31" s="2">
        <v>24120</v>
      </c>
      <c r="H31" s="2">
        <v>25883</v>
      </c>
    </row>
    <row r="32" spans="1:8" ht="25.5">
      <c r="A32" s="2" t="s">
        <v>139</v>
      </c>
      <c r="B32" s="2" t="s">
        <v>164</v>
      </c>
      <c r="C32" s="2" t="s">
        <v>149</v>
      </c>
      <c r="D32" s="2">
        <v>22697</v>
      </c>
      <c r="E32" s="2">
        <v>22574</v>
      </c>
      <c r="F32" s="2">
        <v>24082</v>
      </c>
      <c r="G32" s="2">
        <v>24092</v>
      </c>
      <c r="H32" s="2">
        <v>25853</v>
      </c>
    </row>
    <row r="33" spans="1:8" ht="25.5">
      <c r="A33" s="2" t="s">
        <v>139</v>
      </c>
      <c r="B33" s="2" t="s">
        <v>153</v>
      </c>
      <c r="C33" s="2" t="s">
        <v>149</v>
      </c>
      <c r="D33" s="2">
        <v>24604</v>
      </c>
      <c r="E33" s="2">
        <v>27976</v>
      </c>
      <c r="F33" s="2">
        <v>26939</v>
      </c>
      <c r="G33" s="2">
        <v>23625</v>
      </c>
      <c r="H33" s="2">
        <v>20624</v>
      </c>
    </row>
    <row r="34" spans="1:8" ht="25.5">
      <c r="A34" s="2" t="s">
        <v>140</v>
      </c>
      <c r="B34" s="2" t="s">
        <v>196</v>
      </c>
      <c r="C34" s="2" t="s">
        <v>149</v>
      </c>
      <c r="D34" s="2">
        <v>11194</v>
      </c>
      <c r="E34" s="2">
        <v>12961</v>
      </c>
      <c r="F34" s="2">
        <v>14363</v>
      </c>
      <c r="G34" s="2">
        <v>16772</v>
      </c>
      <c r="H34" s="2">
        <v>20467</v>
      </c>
    </row>
    <row r="35" spans="1:8" ht="25.5">
      <c r="A35" s="2" t="s">
        <v>140</v>
      </c>
      <c r="B35" s="2" t="s">
        <v>223</v>
      </c>
      <c r="C35" s="2" t="s">
        <v>149</v>
      </c>
      <c r="D35" s="2">
        <v>16511</v>
      </c>
      <c r="E35" s="2">
        <v>21133</v>
      </c>
      <c r="F35" s="2">
        <v>20316</v>
      </c>
      <c r="G35" s="2">
        <v>21549</v>
      </c>
      <c r="H35" s="2">
        <v>20392</v>
      </c>
    </row>
    <row r="36" spans="1:8" ht="25.5">
      <c r="A36" s="2" t="s">
        <v>140</v>
      </c>
      <c r="B36" s="2" t="s">
        <v>206</v>
      </c>
      <c r="C36" s="2" t="s">
        <v>149</v>
      </c>
      <c r="D36" s="2">
        <v>8245</v>
      </c>
      <c r="E36" s="2">
        <v>8981</v>
      </c>
      <c r="F36" s="2">
        <v>9535</v>
      </c>
      <c r="G36" s="2">
        <v>10778</v>
      </c>
      <c r="H36" s="2">
        <v>15303</v>
      </c>
    </row>
    <row r="37" spans="1:8" ht="25.5">
      <c r="A37" s="2" t="s">
        <v>139</v>
      </c>
      <c r="B37" s="2" t="s">
        <v>183</v>
      </c>
      <c r="C37" s="2" t="s">
        <v>149</v>
      </c>
      <c r="D37" s="2">
        <v>14362</v>
      </c>
      <c r="E37" s="2">
        <v>15036</v>
      </c>
      <c r="F37" s="2">
        <v>13029</v>
      </c>
      <c r="G37" s="2">
        <v>11709</v>
      </c>
      <c r="H37" s="2">
        <v>11790</v>
      </c>
    </row>
    <row r="38" spans="1:8" ht="25.5">
      <c r="A38" s="2" t="s">
        <v>140</v>
      </c>
      <c r="B38" s="2" t="s">
        <v>70</v>
      </c>
      <c r="C38" s="2" t="s">
        <v>149</v>
      </c>
      <c r="D38" s="2">
        <v>14362</v>
      </c>
      <c r="E38" s="2">
        <v>15036</v>
      </c>
      <c r="F38" s="2">
        <v>13029</v>
      </c>
      <c r="G38" s="2">
        <v>11709</v>
      </c>
      <c r="H38" s="2">
        <v>11790</v>
      </c>
    </row>
    <row r="39" spans="1:8" ht="25.5">
      <c r="A39" s="2" t="s">
        <v>139</v>
      </c>
      <c r="B39" s="2" t="s">
        <v>166</v>
      </c>
      <c r="C39" s="2" t="s">
        <v>149</v>
      </c>
      <c r="D39" s="2">
        <v>13868</v>
      </c>
      <c r="E39" s="2">
        <v>13927</v>
      </c>
      <c r="F39" s="2">
        <v>14782</v>
      </c>
      <c r="G39" s="2">
        <v>11990</v>
      </c>
      <c r="H39" s="2">
        <v>11119</v>
      </c>
    </row>
    <row r="40" spans="1:8" ht="25.5">
      <c r="A40" s="2" t="s">
        <v>139</v>
      </c>
      <c r="B40" s="2" t="s">
        <v>154</v>
      </c>
      <c r="C40" s="2" t="s">
        <v>149</v>
      </c>
      <c r="D40" s="2">
        <v>15726</v>
      </c>
      <c r="E40" s="2">
        <v>16196</v>
      </c>
      <c r="F40" s="2">
        <v>15541</v>
      </c>
      <c r="G40" s="2">
        <v>10000</v>
      </c>
      <c r="H40" s="2">
        <v>10000</v>
      </c>
    </row>
    <row r="41" spans="1:8" ht="25.5">
      <c r="A41" s="2" t="s">
        <v>140</v>
      </c>
      <c r="B41" s="2" t="s">
        <v>203</v>
      </c>
      <c r="C41" s="2" t="s">
        <v>149</v>
      </c>
      <c r="D41" s="2">
        <v>13329</v>
      </c>
      <c r="E41" s="2">
        <v>8115</v>
      </c>
      <c r="F41" s="2">
        <v>7669</v>
      </c>
      <c r="G41" s="2">
        <v>8798</v>
      </c>
      <c r="H41" s="2">
        <v>8806</v>
      </c>
    </row>
    <row r="42" spans="1:8" ht="25.5">
      <c r="A42" s="2" t="s">
        <v>140</v>
      </c>
      <c r="B42" s="2" t="s">
        <v>202</v>
      </c>
      <c r="C42" s="2" t="s">
        <v>149</v>
      </c>
      <c r="D42" s="2">
        <v>8890</v>
      </c>
      <c r="E42" s="2">
        <v>5412</v>
      </c>
      <c r="F42" s="2">
        <v>5115</v>
      </c>
      <c r="G42" s="2">
        <v>5868</v>
      </c>
      <c r="H42" s="2">
        <v>5874</v>
      </c>
    </row>
    <row r="43" spans="1:8" ht="25.5">
      <c r="A43" s="2" t="s">
        <v>140</v>
      </c>
      <c r="B43" s="2" t="s">
        <v>47</v>
      </c>
      <c r="C43" s="2" t="s">
        <v>149</v>
      </c>
      <c r="D43" s="2">
        <v>4050</v>
      </c>
      <c r="E43" s="2">
        <v>5658</v>
      </c>
      <c r="F43" s="2">
        <v>5504</v>
      </c>
      <c r="G43" s="2">
        <v>5596</v>
      </c>
      <c r="H43" s="2">
        <v>5318</v>
      </c>
    </row>
    <row r="44" spans="1:8" ht="25.5">
      <c r="A44" s="2" t="s">
        <v>140</v>
      </c>
      <c r="B44" s="2" t="s">
        <v>201</v>
      </c>
      <c r="C44" s="2" t="s">
        <v>149</v>
      </c>
      <c r="D44" s="2">
        <v>1982</v>
      </c>
      <c r="E44" s="2">
        <v>2345</v>
      </c>
      <c r="F44" s="2">
        <v>3611</v>
      </c>
      <c r="G44" s="2">
        <v>4258</v>
      </c>
      <c r="H44" s="2">
        <v>5190</v>
      </c>
    </row>
    <row r="45" spans="1:8" ht="25.5">
      <c r="A45" s="2" t="s">
        <v>139</v>
      </c>
      <c r="B45" s="2" t="s">
        <v>170</v>
      </c>
      <c r="C45" s="2" t="s">
        <v>149</v>
      </c>
      <c r="D45" s="2">
        <v>3939</v>
      </c>
      <c r="E45" s="2">
        <v>4240</v>
      </c>
      <c r="F45" s="2">
        <v>4532</v>
      </c>
      <c r="G45" s="2">
        <v>4092</v>
      </c>
      <c r="H45" s="2">
        <v>4861</v>
      </c>
    </row>
    <row r="46" spans="1:8" ht="25.5">
      <c r="A46" s="2" t="s">
        <v>140</v>
      </c>
      <c r="B46" s="2" t="s">
        <v>50</v>
      </c>
      <c r="C46" s="2" t="s">
        <v>149</v>
      </c>
      <c r="D46" s="2">
        <v>7907</v>
      </c>
      <c r="E46" s="2">
        <v>7835</v>
      </c>
      <c r="F46" s="2">
        <v>7591</v>
      </c>
      <c r="G46" s="2">
        <v>4928</v>
      </c>
      <c r="H46" s="2">
        <v>4684</v>
      </c>
    </row>
    <row r="47" spans="1:8" ht="25.5">
      <c r="A47" s="2" t="s">
        <v>140</v>
      </c>
      <c r="B47" s="2" t="s">
        <v>211</v>
      </c>
      <c r="C47" s="2" t="s">
        <v>149</v>
      </c>
      <c r="D47" s="2">
        <v>4180</v>
      </c>
      <c r="E47" s="2">
        <v>4198</v>
      </c>
      <c r="F47" s="2">
        <v>3229</v>
      </c>
      <c r="G47" s="2">
        <v>3170</v>
      </c>
      <c r="H47" s="2">
        <v>3147</v>
      </c>
    </row>
    <row r="48" spans="1:8" ht="25.5">
      <c r="A48" s="2" t="s">
        <v>139</v>
      </c>
      <c r="B48" s="2" t="s">
        <v>186</v>
      </c>
      <c r="C48" s="2" t="s">
        <v>149</v>
      </c>
      <c r="D48" s="2">
        <v>2613</v>
      </c>
      <c r="E48" s="2">
        <v>2209</v>
      </c>
      <c r="F48" s="2">
        <v>2928</v>
      </c>
      <c r="G48" s="2">
        <v>2159</v>
      </c>
      <c r="H48" s="2">
        <v>2323</v>
      </c>
    </row>
    <row r="49" spans="1:8" ht="25.5">
      <c r="A49" s="2" t="s">
        <v>139</v>
      </c>
      <c r="B49" s="2" t="s">
        <v>158</v>
      </c>
      <c r="C49" s="2" t="s">
        <v>149</v>
      </c>
      <c r="D49" s="2">
        <v>1766</v>
      </c>
      <c r="E49" s="2">
        <v>2479</v>
      </c>
      <c r="F49" s="2">
        <v>2343</v>
      </c>
      <c r="G49" s="2">
        <v>2768</v>
      </c>
      <c r="H49" s="2">
        <v>1776</v>
      </c>
    </row>
    <row r="50" spans="1:8" ht="25.5">
      <c r="A50" s="2" t="s">
        <v>140</v>
      </c>
      <c r="B50" s="2" t="s">
        <v>207</v>
      </c>
      <c r="C50" s="2" t="s">
        <v>149</v>
      </c>
      <c r="D50" s="2">
        <v>744</v>
      </c>
      <c r="E50" s="2">
        <v>1473</v>
      </c>
      <c r="F50" s="2">
        <v>1270</v>
      </c>
      <c r="G50" s="2">
        <v>1527</v>
      </c>
      <c r="H50" s="2">
        <v>1603</v>
      </c>
    </row>
    <row r="51" spans="1:8" ht="25.5">
      <c r="A51" s="2" t="s">
        <v>140</v>
      </c>
      <c r="B51" s="2" t="s">
        <v>197</v>
      </c>
      <c r="C51" s="2" t="s">
        <v>149</v>
      </c>
      <c r="D51" s="2">
        <v>1519</v>
      </c>
      <c r="E51" s="2">
        <v>1930</v>
      </c>
      <c r="F51" s="2">
        <v>1543</v>
      </c>
      <c r="G51" s="2">
        <v>1476</v>
      </c>
      <c r="H51" s="2">
        <v>1482</v>
      </c>
    </row>
    <row r="52" spans="1:8" ht="25.5">
      <c r="A52" s="2" t="s">
        <v>139</v>
      </c>
      <c r="B52" s="2" t="s">
        <v>168</v>
      </c>
      <c r="C52" s="2" t="s">
        <v>149</v>
      </c>
      <c r="D52" s="2">
        <v>823</v>
      </c>
      <c r="E52" s="2">
        <v>877</v>
      </c>
      <c r="F52" s="2">
        <v>892</v>
      </c>
      <c r="G52" s="2">
        <v>909</v>
      </c>
      <c r="H52" s="2">
        <v>978</v>
      </c>
    </row>
    <row r="53" spans="1:8" ht="25.5">
      <c r="A53" s="2" t="s">
        <v>139</v>
      </c>
      <c r="B53" s="2" t="s">
        <v>163</v>
      </c>
      <c r="C53" s="2" t="s">
        <v>149</v>
      </c>
      <c r="D53" s="2">
        <v>137</v>
      </c>
      <c r="E53" s="2">
        <v>150</v>
      </c>
      <c r="F53" s="2">
        <v>139</v>
      </c>
      <c r="G53" s="2">
        <v>155</v>
      </c>
      <c r="H53" s="2">
        <v>163</v>
      </c>
    </row>
    <row r="54" spans="1:8" ht="25.5">
      <c r="A54" s="2" t="s">
        <v>140</v>
      </c>
      <c r="B54" s="2" t="s">
        <v>55</v>
      </c>
      <c r="C54" s="2" t="s">
        <v>149</v>
      </c>
      <c r="D54" s="2">
        <v>108</v>
      </c>
      <c r="E54" s="2">
        <v>107</v>
      </c>
      <c r="F54" s="2">
        <v>111</v>
      </c>
      <c r="G54" s="2">
        <v>132</v>
      </c>
      <c r="H54" s="2">
        <v>145</v>
      </c>
    </row>
    <row r="55" spans="1:8" ht="25.5">
      <c r="A55" s="2" t="s">
        <v>139</v>
      </c>
      <c r="B55" s="2" t="s">
        <v>181</v>
      </c>
      <c r="C55" s="2" t="s">
        <v>149</v>
      </c>
      <c r="D55" s="2">
        <v>129</v>
      </c>
      <c r="E55" s="2">
        <v>137</v>
      </c>
      <c r="F55" s="2">
        <v>112</v>
      </c>
      <c r="G55" s="2">
        <v>87</v>
      </c>
      <c r="H55" s="2">
        <v>86</v>
      </c>
    </row>
    <row r="56" spans="1:8" ht="25.5">
      <c r="A56" s="2" t="s">
        <v>139</v>
      </c>
      <c r="B56" s="2" t="s">
        <v>159</v>
      </c>
      <c r="C56" s="2" t="s">
        <v>149</v>
      </c>
      <c r="D56" s="2">
        <v>71</v>
      </c>
      <c r="E56" s="2">
        <v>89</v>
      </c>
      <c r="F56" s="2">
        <v>147</v>
      </c>
      <c r="G56" s="2">
        <v>60</v>
      </c>
      <c r="H56" s="2">
        <v>65</v>
      </c>
    </row>
    <row r="57" spans="1:8" ht="25.5">
      <c r="A57" s="2" t="s">
        <v>140</v>
      </c>
      <c r="B57" s="2" t="s">
        <v>49</v>
      </c>
      <c r="C57" s="2" t="s">
        <v>149</v>
      </c>
      <c r="D57" s="2">
        <v>45</v>
      </c>
      <c r="E57" s="2">
        <v>36</v>
      </c>
      <c r="F57" s="2">
        <v>29</v>
      </c>
      <c r="G57" s="2">
        <v>28</v>
      </c>
      <c r="H57" s="2">
        <v>30</v>
      </c>
    </row>
    <row r="58" spans="1:8" ht="25.5">
      <c r="A58" s="2" t="s">
        <v>140</v>
      </c>
      <c r="B58" s="2" t="s">
        <v>215</v>
      </c>
      <c r="C58" s="2" t="s">
        <v>149</v>
      </c>
      <c r="D58" s="2">
        <v>0</v>
      </c>
      <c r="E58" s="2">
        <v>0</v>
      </c>
      <c r="F58" s="2">
        <v>0</v>
      </c>
      <c r="G58" s="2">
        <v>0</v>
      </c>
      <c r="H58" s="2">
        <v>0</v>
      </c>
    </row>
    <row r="59" spans="1:8" ht="25.5">
      <c r="A59" s="2" t="s">
        <v>140</v>
      </c>
      <c r="B59" s="2" t="s">
        <v>221</v>
      </c>
      <c r="C59" s="2" t="s">
        <v>149</v>
      </c>
      <c r="D59" s="2">
        <v>0</v>
      </c>
      <c r="E59" s="2">
        <v>0</v>
      </c>
      <c r="F59" s="2">
        <v>0</v>
      </c>
      <c r="G59" s="2">
        <v>0</v>
      </c>
      <c r="H59" s="2">
        <v>0</v>
      </c>
    </row>
    <row r="60" spans="1:8" ht="25.5">
      <c r="A60" s="2" t="s">
        <v>140</v>
      </c>
      <c r="B60" s="2" t="s">
        <v>222</v>
      </c>
      <c r="C60" s="2" t="s">
        <v>149</v>
      </c>
      <c r="D60" s="2">
        <v>0</v>
      </c>
      <c r="E60" s="2">
        <v>0</v>
      </c>
      <c r="F60" s="2">
        <v>0</v>
      </c>
      <c r="G60" s="2">
        <v>0</v>
      </c>
      <c r="H60" s="2">
        <v>0</v>
      </c>
    </row>
    <row r="61" spans="1:8" ht="25.5">
      <c r="A61" s="2" t="s">
        <v>140</v>
      </c>
      <c r="B61" s="2" t="s">
        <v>68</v>
      </c>
      <c r="C61" s="2" t="s">
        <v>149</v>
      </c>
      <c r="D61" s="2">
        <v>0</v>
      </c>
      <c r="E61" s="2">
        <v>0</v>
      </c>
      <c r="F61" s="2">
        <v>0</v>
      </c>
      <c r="G61" s="2">
        <v>0</v>
      </c>
      <c r="H61" s="2">
        <v>0</v>
      </c>
    </row>
    <row r="62" spans="1:8" ht="25.5">
      <c r="A62" s="2" t="s">
        <v>139</v>
      </c>
      <c r="B62" s="2" t="s">
        <v>148</v>
      </c>
      <c r="C62" s="2" t="s">
        <v>149</v>
      </c>
      <c r="D62" s="2">
        <v>3208</v>
      </c>
      <c r="E62" s="2">
        <v>1638</v>
      </c>
      <c r="F62" s="2">
        <v>2352</v>
      </c>
      <c r="G62" s="1"/>
      <c r="H62" s="1"/>
    </row>
  </sheetData>
  <printOptions/>
  <pageMargins left="0.787401575" right="0.787401575" top="1" bottom="1" header="0" footer="0"/>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workbookViewId="0" topLeftCell="A1"/>
  </sheetViews>
  <sheetFormatPr defaultColWidth="11.00390625" defaultRowHeight="12.75"/>
  <cols>
    <col min="1" max="1" width="15.75390625" style="0" customWidth="1"/>
    <col min="2" max="2" width="21.00390625" style="0" customWidth="1"/>
    <col min="3" max="3" width="9.625" style="0" customWidth="1"/>
    <col min="4" max="4" width="8.25390625" style="0" customWidth="1"/>
    <col min="5" max="5" width="8.625" style="0" customWidth="1"/>
    <col min="6" max="6" width="8.125" style="0" customWidth="1"/>
    <col min="7" max="7" width="8.625" style="0" customWidth="1"/>
    <col min="8" max="8" width="9.00390625" style="0" customWidth="1"/>
  </cols>
  <sheetData>
    <row r="1" spans="1:8" ht="12.75">
      <c r="A1" s="3" t="s">
        <v>145</v>
      </c>
      <c r="B1" s="3" t="s">
        <v>146</v>
      </c>
      <c r="C1" s="3" t="s">
        <v>147</v>
      </c>
      <c r="D1" s="3">
        <v>2003</v>
      </c>
      <c r="E1" s="3">
        <v>2004</v>
      </c>
      <c r="F1" s="3">
        <v>2005</v>
      </c>
      <c r="G1" s="3">
        <v>2006</v>
      </c>
      <c r="H1" s="3">
        <v>2007</v>
      </c>
    </row>
    <row r="2" spans="1:8" ht="25.5">
      <c r="A2" s="2" t="s">
        <v>142</v>
      </c>
      <c r="B2" s="2" t="s">
        <v>62</v>
      </c>
      <c r="C2" s="2" t="s">
        <v>149</v>
      </c>
      <c r="D2" s="2">
        <v>2142572</v>
      </c>
      <c r="E2" s="2">
        <v>2503150</v>
      </c>
      <c r="F2" s="2">
        <v>2292997</v>
      </c>
      <c r="G2" s="2">
        <v>2159476</v>
      </c>
      <c r="H2" s="2">
        <v>2391408</v>
      </c>
    </row>
    <row r="3" spans="1:8" ht="25.5">
      <c r="A3" s="2" t="s">
        <v>142</v>
      </c>
      <c r="B3" s="2" t="s">
        <v>198</v>
      </c>
      <c r="C3" s="2" t="s">
        <v>149</v>
      </c>
      <c r="D3" s="2">
        <v>2142324</v>
      </c>
      <c r="E3" s="2">
        <v>2502898</v>
      </c>
      <c r="F3" s="2">
        <v>2292629</v>
      </c>
      <c r="G3" s="2">
        <v>2158982</v>
      </c>
      <c r="H3" s="2">
        <v>2390808</v>
      </c>
    </row>
    <row r="4" spans="1:8" ht="25.5">
      <c r="A4" s="2" t="s">
        <v>142</v>
      </c>
      <c r="B4" s="2" t="s">
        <v>72</v>
      </c>
      <c r="C4" s="2" t="s">
        <v>149</v>
      </c>
      <c r="D4" s="2">
        <v>2286488</v>
      </c>
      <c r="E4" s="2">
        <v>2386434</v>
      </c>
      <c r="F4" s="2">
        <v>2301493</v>
      </c>
      <c r="G4" s="2">
        <v>2213767</v>
      </c>
      <c r="H4" s="2">
        <v>2219022</v>
      </c>
    </row>
    <row r="5" spans="1:8" ht="25.5">
      <c r="A5" s="2" t="s">
        <v>142</v>
      </c>
      <c r="B5" s="2" t="s">
        <v>57</v>
      </c>
      <c r="C5" s="2" t="s">
        <v>149</v>
      </c>
      <c r="D5" s="2">
        <v>1752999</v>
      </c>
      <c r="E5" s="2">
        <v>2125679</v>
      </c>
      <c r="F5" s="2">
        <v>1965324</v>
      </c>
      <c r="G5" s="2">
        <v>1922829</v>
      </c>
      <c r="H5" s="2">
        <v>1842701</v>
      </c>
    </row>
    <row r="6" spans="1:8" ht="25.5">
      <c r="A6" s="2" t="s">
        <v>142</v>
      </c>
      <c r="B6" s="2" t="s">
        <v>52</v>
      </c>
      <c r="C6" s="2" t="s">
        <v>149</v>
      </c>
      <c r="D6" s="2">
        <v>1845646</v>
      </c>
      <c r="E6" s="2">
        <v>1891971</v>
      </c>
      <c r="F6" s="2">
        <v>1799987</v>
      </c>
      <c r="G6" s="2">
        <v>1762043</v>
      </c>
      <c r="H6" s="2">
        <v>1773364</v>
      </c>
    </row>
    <row r="7" spans="1:8" ht="25.5">
      <c r="A7" s="2" t="s">
        <v>142</v>
      </c>
      <c r="B7" s="2" t="s">
        <v>58</v>
      </c>
      <c r="C7" s="2" t="s">
        <v>149</v>
      </c>
      <c r="D7" s="2">
        <v>1262374</v>
      </c>
      <c r="E7" s="2">
        <v>1415560</v>
      </c>
      <c r="F7" s="2">
        <v>1163767</v>
      </c>
      <c r="G7" s="2">
        <v>1154971</v>
      </c>
      <c r="H7" s="2">
        <v>1204080</v>
      </c>
    </row>
    <row r="8" spans="1:8" ht="25.5">
      <c r="A8" s="2" t="s">
        <v>142</v>
      </c>
      <c r="B8" s="2" t="s">
        <v>53</v>
      </c>
      <c r="C8" s="2" t="s">
        <v>149</v>
      </c>
      <c r="D8" s="2">
        <v>844090</v>
      </c>
      <c r="E8" s="2">
        <v>1070045</v>
      </c>
      <c r="F8" s="2">
        <v>1011109</v>
      </c>
      <c r="G8" s="2">
        <v>1002865</v>
      </c>
      <c r="H8" s="2">
        <v>918665</v>
      </c>
    </row>
    <row r="9" spans="1:8" ht="25.5">
      <c r="A9" s="2" t="s">
        <v>141</v>
      </c>
      <c r="B9" s="2" t="s">
        <v>169</v>
      </c>
      <c r="C9" s="2" t="s">
        <v>149</v>
      </c>
      <c r="D9" s="2">
        <v>512491</v>
      </c>
      <c r="E9" s="2">
        <v>559335</v>
      </c>
      <c r="F9" s="2">
        <v>528323</v>
      </c>
      <c r="G9" s="2">
        <v>600810</v>
      </c>
      <c r="H9" s="2">
        <v>568684</v>
      </c>
    </row>
    <row r="10" spans="1:8" ht="25.5">
      <c r="A10" s="2" t="s">
        <v>142</v>
      </c>
      <c r="B10" s="2" t="s">
        <v>204</v>
      </c>
      <c r="C10" s="2" t="s">
        <v>149</v>
      </c>
      <c r="D10" s="2">
        <v>428529</v>
      </c>
      <c r="E10" s="2">
        <v>500645</v>
      </c>
      <c r="F10" s="2">
        <v>458621</v>
      </c>
      <c r="G10" s="2">
        <v>431925</v>
      </c>
      <c r="H10" s="2">
        <v>478318</v>
      </c>
    </row>
    <row r="11" spans="1:8" ht="25.5">
      <c r="A11" s="2" t="s">
        <v>141</v>
      </c>
      <c r="B11" s="2" t="s">
        <v>152</v>
      </c>
      <c r="C11" s="2" t="s">
        <v>149</v>
      </c>
      <c r="D11" s="2">
        <v>397097</v>
      </c>
      <c r="E11" s="2">
        <v>440434</v>
      </c>
      <c r="F11" s="2">
        <v>397988</v>
      </c>
      <c r="G11" s="2">
        <v>422690</v>
      </c>
      <c r="H11" s="2">
        <v>390324</v>
      </c>
    </row>
    <row r="12" spans="1:8" ht="25.5">
      <c r="A12" s="2" t="s">
        <v>141</v>
      </c>
      <c r="B12" s="2" t="s">
        <v>179</v>
      </c>
      <c r="C12" s="2" t="s">
        <v>149</v>
      </c>
      <c r="D12" s="2">
        <v>306579</v>
      </c>
      <c r="E12" s="2">
        <v>357636</v>
      </c>
      <c r="F12" s="2">
        <v>337451</v>
      </c>
      <c r="G12" s="2">
        <v>298258</v>
      </c>
      <c r="H12" s="2">
        <v>314700</v>
      </c>
    </row>
    <row r="13" spans="1:8" ht="25.5">
      <c r="A13" s="2" t="s">
        <v>142</v>
      </c>
      <c r="B13" s="2" t="s">
        <v>51</v>
      </c>
      <c r="C13" s="2" t="s">
        <v>149</v>
      </c>
      <c r="D13" s="2">
        <v>262548</v>
      </c>
      <c r="E13" s="2">
        <v>279012</v>
      </c>
      <c r="F13" s="2">
        <v>320907</v>
      </c>
      <c r="G13" s="2">
        <v>290730</v>
      </c>
      <c r="H13" s="2">
        <v>280292</v>
      </c>
    </row>
    <row r="14" spans="1:8" ht="25.5">
      <c r="A14" s="2" t="s">
        <v>141</v>
      </c>
      <c r="B14" s="2" t="s">
        <v>150</v>
      </c>
      <c r="C14" s="2" t="s">
        <v>149</v>
      </c>
      <c r="D14" s="2">
        <v>346558</v>
      </c>
      <c r="E14" s="2">
        <v>457683</v>
      </c>
      <c r="F14" s="2">
        <v>332857</v>
      </c>
      <c r="G14" s="2">
        <v>227939</v>
      </c>
      <c r="H14" s="2">
        <v>208099</v>
      </c>
    </row>
    <row r="15" spans="1:8" ht="25.5">
      <c r="A15" s="2" t="s">
        <v>142</v>
      </c>
      <c r="B15" s="2" t="s">
        <v>59</v>
      </c>
      <c r="C15" s="2" t="s">
        <v>149</v>
      </c>
      <c r="D15" s="2">
        <v>142063</v>
      </c>
      <c r="E15" s="2">
        <v>139438</v>
      </c>
      <c r="F15" s="2">
        <v>171321</v>
      </c>
      <c r="G15" s="2">
        <v>166801</v>
      </c>
      <c r="H15" s="2">
        <v>173467</v>
      </c>
    </row>
    <row r="16" spans="1:8" ht="25.5">
      <c r="A16" s="2" t="s">
        <v>142</v>
      </c>
      <c r="B16" s="2" t="s">
        <v>188</v>
      </c>
      <c r="C16" s="2" t="s">
        <v>149</v>
      </c>
      <c r="D16" s="2">
        <v>178294</v>
      </c>
      <c r="E16" s="2">
        <v>215451</v>
      </c>
      <c r="F16" s="2">
        <v>180599</v>
      </c>
      <c r="G16" s="2">
        <v>160994</v>
      </c>
      <c r="H16" s="2">
        <v>165366</v>
      </c>
    </row>
    <row r="17" spans="1:8" ht="25.5">
      <c r="A17" s="2" t="s">
        <v>142</v>
      </c>
      <c r="B17" s="2" t="s">
        <v>189</v>
      </c>
      <c r="C17" s="2" t="s">
        <v>149</v>
      </c>
      <c r="D17" s="2">
        <v>115465</v>
      </c>
      <c r="E17" s="2">
        <v>138363</v>
      </c>
      <c r="F17" s="2">
        <v>99422</v>
      </c>
      <c r="G17" s="2">
        <v>94453</v>
      </c>
      <c r="H17" s="2">
        <v>152471</v>
      </c>
    </row>
    <row r="18" spans="1:8" ht="25.5">
      <c r="A18" s="2" t="s">
        <v>142</v>
      </c>
      <c r="B18" s="2" t="s">
        <v>201</v>
      </c>
      <c r="C18" s="2" t="s">
        <v>149</v>
      </c>
      <c r="D18" s="2">
        <v>81790</v>
      </c>
      <c r="E18" s="2">
        <v>77913</v>
      </c>
      <c r="F18" s="2">
        <v>112429</v>
      </c>
      <c r="G18" s="2">
        <v>106745</v>
      </c>
      <c r="H18" s="2">
        <v>114974</v>
      </c>
    </row>
    <row r="19" spans="1:8" ht="25.5">
      <c r="A19" s="2" t="s">
        <v>141</v>
      </c>
      <c r="B19" s="2" t="s">
        <v>151</v>
      </c>
      <c r="C19" s="2" t="s">
        <v>149</v>
      </c>
      <c r="D19" s="2">
        <v>154477</v>
      </c>
      <c r="E19" s="2">
        <v>126895</v>
      </c>
      <c r="F19" s="2">
        <v>59484</v>
      </c>
      <c r="G19" s="2">
        <v>78558</v>
      </c>
      <c r="H19" s="2">
        <v>105604</v>
      </c>
    </row>
    <row r="20" spans="1:8" ht="25.5">
      <c r="A20" s="2" t="s">
        <v>142</v>
      </c>
      <c r="B20" s="2" t="s">
        <v>206</v>
      </c>
      <c r="C20" s="2" t="s">
        <v>149</v>
      </c>
      <c r="D20" s="2">
        <v>80886</v>
      </c>
      <c r="E20" s="2">
        <v>112963</v>
      </c>
      <c r="F20" s="2">
        <v>92454</v>
      </c>
      <c r="G20" s="2">
        <v>85928</v>
      </c>
      <c r="H20" s="2">
        <v>93340</v>
      </c>
    </row>
    <row r="21" spans="1:8" ht="25.5">
      <c r="A21" s="2" t="s">
        <v>141</v>
      </c>
      <c r="B21" s="2" t="s">
        <v>158</v>
      </c>
      <c r="C21" s="2" t="s">
        <v>149</v>
      </c>
      <c r="D21" s="2">
        <v>78837</v>
      </c>
      <c r="E21" s="2">
        <v>96575</v>
      </c>
      <c r="F21" s="2">
        <v>83767</v>
      </c>
      <c r="G21" s="2">
        <v>70346</v>
      </c>
      <c r="H21" s="2">
        <v>84742</v>
      </c>
    </row>
    <row r="22" spans="1:8" ht="25.5">
      <c r="A22" s="2" t="s">
        <v>141</v>
      </c>
      <c r="B22" s="2" t="s">
        <v>171</v>
      </c>
      <c r="C22" s="2" t="s">
        <v>149</v>
      </c>
      <c r="D22" s="2">
        <v>63492</v>
      </c>
      <c r="E22" s="2">
        <v>56020</v>
      </c>
      <c r="F22" s="2">
        <v>62208</v>
      </c>
      <c r="G22" s="2">
        <v>78975</v>
      </c>
      <c r="H22" s="2">
        <v>78407</v>
      </c>
    </row>
    <row r="23" spans="1:8" ht="25.5">
      <c r="A23" s="2" t="s">
        <v>142</v>
      </c>
      <c r="B23" s="2" t="s">
        <v>196</v>
      </c>
      <c r="C23" s="2" t="s">
        <v>149</v>
      </c>
      <c r="D23" s="2">
        <v>37744</v>
      </c>
      <c r="E23" s="2">
        <v>44489</v>
      </c>
      <c r="F23" s="2">
        <v>49663</v>
      </c>
      <c r="G23" s="2">
        <v>44032</v>
      </c>
      <c r="H23" s="2">
        <v>56925</v>
      </c>
    </row>
    <row r="24" spans="1:8" ht="25.5">
      <c r="A24" s="2" t="s">
        <v>142</v>
      </c>
      <c r="B24" s="2" t="s">
        <v>56</v>
      </c>
      <c r="C24" s="2" t="s">
        <v>149</v>
      </c>
      <c r="D24" s="2">
        <v>65846</v>
      </c>
      <c r="E24" s="2">
        <v>60095</v>
      </c>
      <c r="F24" s="2">
        <v>49449</v>
      </c>
      <c r="G24" s="2">
        <v>49602</v>
      </c>
      <c r="H24" s="2">
        <v>47213</v>
      </c>
    </row>
    <row r="25" spans="1:8" ht="25.5">
      <c r="A25" s="2" t="s">
        <v>142</v>
      </c>
      <c r="B25" s="2" t="s">
        <v>223</v>
      </c>
      <c r="C25" s="2" t="s">
        <v>149</v>
      </c>
      <c r="D25" s="2">
        <v>55414</v>
      </c>
      <c r="E25" s="2">
        <v>55460</v>
      </c>
      <c r="F25" s="2">
        <v>52796</v>
      </c>
      <c r="G25" s="2">
        <v>50238</v>
      </c>
      <c r="H25" s="2">
        <v>46137</v>
      </c>
    </row>
    <row r="26" spans="1:8" ht="25.5">
      <c r="A26" s="2" t="s">
        <v>142</v>
      </c>
      <c r="B26" s="2" t="s">
        <v>216</v>
      </c>
      <c r="C26" s="2" t="s">
        <v>149</v>
      </c>
      <c r="D26" s="2">
        <v>27650</v>
      </c>
      <c r="E26" s="2">
        <v>30250</v>
      </c>
      <c r="F26" s="2">
        <v>17785</v>
      </c>
      <c r="G26" s="2">
        <v>21701</v>
      </c>
      <c r="H26" s="2">
        <v>36256</v>
      </c>
    </row>
    <row r="27" spans="1:8" ht="25.5">
      <c r="A27" s="2" t="s">
        <v>142</v>
      </c>
      <c r="B27" s="2" t="s">
        <v>69</v>
      </c>
      <c r="C27" s="2" t="s">
        <v>149</v>
      </c>
      <c r="D27" s="2">
        <v>27650</v>
      </c>
      <c r="E27" s="2">
        <v>30250</v>
      </c>
      <c r="F27" s="2">
        <v>17785</v>
      </c>
      <c r="G27" s="2">
        <v>21701</v>
      </c>
      <c r="H27" s="2">
        <v>36256</v>
      </c>
    </row>
    <row r="28" spans="1:8" ht="25.5">
      <c r="A28" s="2" t="s">
        <v>141</v>
      </c>
      <c r="B28" s="2" t="s">
        <v>184</v>
      </c>
      <c r="C28" s="2" t="s">
        <v>149</v>
      </c>
      <c r="D28" s="2">
        <v>39476</v>
      </c>
      <c r="E28" s="2">
        <v>40934</v>
      </c>
      <c r="F28" s="2">
        <v>35472</v>
      </c>
      <c r="G28" s="2">
        <v>35648</v>
      </c>
      <c r="H28" s="2">
        <v>33395</v>
      </c>
    </row>
    <row r="29" spans="1:8" ht="25.5">
      <c r="A29" s="2" t="s">
        <v>141</v>
      </c>
      <c r="B29" s="2" t="s">
        <v>154</v>
      </c>
      <c r="C29" s="2" t="s">
        <v>149</v>
      </c>
      <c r="D29" s="2">
        <v>40000</v>
      </c>
      <c r="E29" s="2">
        <v>35000</v>
      </c>
      <c r="F29" s="2">
        <v>30000</v>
      </c>
      <c r="G29" s="2">
        <v>30000</v>
      </c>
      <c r="H29" s="2">
        <v>30000</v>
      </c>
    </row>
    <row r="30" spans="1:8" ht="25.5">
      <c r="A30" s="2" t="s">
        <v>141</v>
      </c>
      <c r="B30" s="2" t="s">
        <v>178</v>
      </c>
      <c r="C30" s="2" t="s">
        <v>149</v>
      </c>
      <c r="D30" s="2">
        <v>16010</v>
      </c>
      <c r="E30" s="2">
        <v>15595</v>
      </c>
      <c r="F30" s="2">
        <v>16121</v>
      </c>
      <c r="G30" s="2">
        <v>14494</v>
      </c>
      <c r="H30" s="2">
        <v>16429</v>
      </c>
    </row>
    <row r="31" spans="1:8" ht="25.5">
      <c r="A31" s="2" t="s">
        <v>141</v>
      </c>
      <c r="B31" s="2" t="s">
        <v>183</v>
      </c>
      <c r="C31" s="2" t="s">
        <v>149</v>
      </c>
      <c r="D31" s="2">
        <v>13223</v>
      </c>
      <c r="E31" s="2">
        <v>14973</v>
      </c>
      <c r="F31" s="2">
        <v>14130</v>
      </c>
      <c r="G31" s="2">
        <v>15169</v>
      </c>
      <c r="H31" s="2">
        <v>16301</v>
      </c>
    </row>
    <row r="32" spans="1:8" ht="25.5">
      <c r="A32" s="2" t="s">
        <v>142</v>
      </c>
      <c r="B32" s="2" t="s">
        <v>70</v>
      </c>
      <c r="C32" s="2" t="s">
        <v>149</v>
      </c>
      <c r="D32" s="2">
        <v>13223</v>
      </c>
      <c r="E32" s="2">
        <v>14973</v>
      </c>
      <c r="F32" s="2">
        <v>14130</v>
      </c>
      <c r="G32" s="2">
        <v>15169</v>
      </c>
      <c r="H32" s="2">
        <v>16301</v>
      </c>
    </row>
    <row r="33" spans="1:8" ht="25.5">
      <c r="A33" s="2" t="s">
        <v>142</v>
      </c>
      <c r="B33" s="2" t="s">
        <v>54</v>
      </c>
      <c r="C33" s="2" t="s">
        <v>149</v>
      </c>
      <c r="D33" s="2">
        <v>20900</v>
      </c>
      <c r="E33" s="2">
        <v>20900</v>
      </c>
      <c r="F33" s="2">
        <v>18000</v>
      </c>
      <c r="G33" s="2">
        <v>18000</v>
      </c>
      <c r="H33" s="2">
        <v>16000</v>
      </c>
    </row>
    <row r="34" spans="1:8" ht="25.5">
      <c r="A34" s="2" t="s">
        <v>142</v>
      </c>
      <c r="B34" s="2" t="s">
        <v>60</v>
      </c>
      <c r="C34" s="2" t="s">
        <v>149</v>
      </c>
      <c r="D34" s="2">
        <v>19797</v>
      </c>
      <c r="E34" s="2">
        <v>23355</v>
      </c>
      <c r="F34" s="2">
        <v>18849</v>
      </c>
      <c r="G34" s="2">
        <v>17431</v>
      </c>
      <c r="H34" s="2">
        <v>13157</v>
      </c>
    </row>
    <row r="35" spans="1:8" ht="25.5">
      <c r="A35" s="2" t="s">
        <v>141</v>
      </c>
      <c r="B35" s="2" t="s">
        <v>170</v>
      </c>
      <c r="C35" s="2" t="s">
        <v>149</v>
      </c>
      <c r="D35" s="2">
        <v>11997</v>
      </c>
      <c r="E35" s="2">
        <v>12948</v>
      </c>
      <c r="F35" s="2">
        <v>11255</v>
      </c>
      <c r="G35" s="2">
        <v>11185</v>
      </c>
      <c r="H35" s="2">
        <v>12434</v>
      </c>
    </row>
    <row r="36" spans="1:8" ht="25.5">
      <c r="A36" s="2" t="s">
        <v>142</v>
      </c>
      <c r="B36" s="2" t="s">
        <v>203</v>
      </c>
      <c r="C36" s="2" t="s">
        <v>149</v>
      </c>
      <c r="D36" s="2">
        <v>8471</v>
      </c>
      <c r="E36" s="2">
        <v>9892</v>
      </c>
      <c r="F36" s="2">
        <v>9892</v>
      </c>
      <c r="G36" s="2">
        <v>9892</v>
      </c>
      <c r="H36" s="2">
        <v>10393</v>
      </c>
    </row>
    <row r="37" spans="1:8" ht="25.5">
      <c r="A37" s="2" t="s">
        <v>141</v>
      </c>
      <c r="B37" s="2" t="s">
        <v>163</v>
      </c>
      <c r="C37" s="2" t="s">
        <v>149</v>
      </c>
      <c r="D37" s="2">
        <v>1300</v>
      </c>
      <c r="E37" s="2">
        <v>2080</v>
      </c>
      <c r="F37" s="2">
        <v>1537</v>
      </c>
      <c r="G37" s="2">
        <v>5585</v>
      </c>
      <c r="H37" s="2">
        <v>8042</v>
      </c>
    </row>
    <row r="38" spans="1:8" ht="25.5">
      <c r="A38" s="2" t="s">
        <v>142</v>
      </c>
      <c r="B38" s="2" t="s">
        <v>193</v>
      </c>
      <c r="C38" s="2" t="s">
        <v>149</v>
      </c>
      <c r="D38" s="2">
        <v>13844</v>
      </c>
      <c r="E38" s="2">
        <v>17743</v>
      </c>
      <c r="F38" s="2">
        <v>12437</v>
      </c>
      <c r="G38" s="2">
        <v>11197</v>
      </c>
      <c r="H38" s="2">
        <v>7711</v>
      </c>
    </row>
    <row r="39" spans="1:8" ht="25.5">
      <c r="A39" s="2" t="s">
        <v>142</v>
      </c>
      <c r="B39" s="2" t="s">
        <v>202</v>
      </c>
      <c r="C39" s="2" t="s">
        <v>149</v>
      </c>
      <c r="D39" s="2">
        <v>5650</v>
      </c>
      <c r="E39" s="2">
        <v>6598</v>
      </c>
      <c r="F39" s="2">
        <v>6598</v>
      </c>
      <c r="G39" s="2">
        <v>6598</v>
      </c>
      <c r="H39" s="2">
        <v>6932</v>
      </c>
    </row>
    <row r="40" spans="1:8" ht="25.5">
      <c r="A40" s="2" t="s">
        <v>142</v>
      </c>
      <c r="B40" s="2" t="s">
        <v>199</v>
      </c>
      <c r="C40" s="2" t="s">
        <v>149</v>
      </c>
      <c r="D40" s="2">
        <v>5120</v>
      </c>
      <c r="E40" s="2">
        <v>4731</v>
      </c>
      <c r="F40" s="2">
        <v>5646</v>
      </c>
      <c r="G40" s="2">
        <v>5484</v>
      </c>
      <c r="H40" s="2">
        <v>4660</v>
      </c>
    </row>
    <row r="41" spans="1:8" ht="25.5">
      <c r="A41" s="2" t="s">
        <v>141</v>
      </c>
      <c r="B41" s="2" t="s">
        <v>168</v>
      </c>
      <c r="C41" s="2" t="s">
        <v>149</v>
      </c>
      <c r="D41" s="2">
        <v>3794</v>
      </c>
      <c r="E41" s="2">
        <v>3970</v>
      </c>
      <c r="F41" s="2">
        <v>4242</v>
      </c>
      <c r="G41" s="2">
        <v>4289</v>
      </c>
      <c r="H41" s="2">
        <v>4628</v>
      </c>
    </row>
    <row r="42" spans="1:8" ht="25.5">
      <c r="A42" s="2" t="s">
        <v>142</v>
      </c>
      <c r="B42" s="2" t="s">
        <v>46</v>
      </c>
      <c r="C42" s="2" t="s">
        <v>149</v>
      </c>
      <c r="D42" s="2">
        <v>5447</v>
      </c>
      <c r="E42" s="2">
        <v>3720</v>
      </c>
      <c r="F42" s="2">
        <v>3790</v>
      </c>
      <c r="G42" s="2">
        <v>3500</v>
      </c>
      <c r="H42" s="2">
        <v>3500</v>
      </c>
    </row>
    <row r="43" spans="1:8" ht="25.5">
      <c r="A43" s="2" t="s">
        <v>142</v>
      </c>
      <c r="B43" s="2" t="s">
        <v>71</v>
      </c>
      <c r="C43" s="2" t="s">
        <v>149</v>
      </c>
      <c r="D43" s="2">
        <v>5447</v>
      </c>
      <c r="E43" s="2">
        <v>3720</v>
      </c>
      <c r="F43" s="2">
        <v>3790</v>
      </c>
      <c r="G43" s="2">
        <v>3500</v>
      </c>
      <c r="H43" s="2">
        <v>3500</v>
      </c>
    </row>
    <row r="44" spans="1:8" ht="25.5">
      <c r="A44" s="2" t="s">
        <v>141</v>
      </c>
      <c r="B44" s="2" t="s">
        <v>186</v>
      </c>
      <c r="C44" s="2" t="s">
        <v>149</v>
      </c>
      <c r="D44" s="2">
        <v>1795</v>
      </c>
      <c r="E44" s="2">
        <v>1748</v>
      </c>
      <c r="F44" s="2">
        <v>1964</v>
      </c>
      <c r="G44" s="2">
        <v>1872</v>
      </c>
      <c r="H44" s="2">
        <v>1851</v>
      </c>
    </row>
    <row r="45" spans="1:8" ht="25.5">
      <c r="A45" s="2" t="s">
        <v>142</v>
      </c>
      <c r="B45" s="2" t="s">
        <v>213</v>
      </c>
      <c r="C45" s="2" t="s">
        <v>149</v>
      </c>
      <c r="D45" s="2">
        <v>1145</v>
      </c>
      <c r="E45" s="2">
        <v>1545</v>
      </c>
      <c r="F45" s="2">
        <v>1841</v>
      </c>
      <c r="G45" s="2">
        <v>1578</v>
      </c>
      <c r="H45" s="2">
        <v>1579</v>
      </c>
    </row>
    <row r="46" spans="1:8" ht="25.5">
      <c r="A46" s="2" t="s">
        <v>141</v>
      </c>
      <c r="B46" s="2" t="s">
        <v>155</v>
      </c>
      <c r="C46" s="2" t="s">
        <v>149</v>
      </c>
      <c r="D46" s="2">
        <v>4946</v>
      </c>
      <c r="E46" s="2">
        <v>4195</v>
      </c>
      <c r="F46" s="2">
        <v>1449</v>
      </c>
      <c r="G46" s="2">
        <v>1602</v>
      </c>
      <c r="H46" s="2">
        <v>1213</v>
      </c>
    </row>
    <row r="47" spans="1:8" ht="25.5">
      <c r="A47" s="2" t="s">
        <v>141</v>
      </c>
      <c r="B47" s="2" t="s">
        <v>153</v>
      </c>
      <c r="C47" s="2" t="s">
        <v>149</v>
      </c>
      <c r="D47" s="2">
        <v>833</v>
      </c>
      <c r="E47" s="2">
        <v>881</v>
      </c>
      <c r="F47" s="2">
        <v>766</v>
      </c>
      <c r="G47" s="2">
        <v>750</v>
      </c>
      <c r="H47" s="2">
        <v>786</v>
      </c>
    </row>
    <row r="48" spans="1:8" ht="25.5">
      <c r="A48" s="2" t="s">
        <v>141</v>
      </c>
      <c r="B48" s="2" t="s">
        <v>181</v>
      </c>
      <c r="C48" s="2" t="s">
        <v>149</v>
      </c>
      <c r="D48" s="2">
        <v>384</v>
      </c>
      <c r="E48" s="2">
        <v>494</v>
      </c>
      <c r="F48" s="2">
        <v>484</v>
      </c>
      <c r="G48" s="2">
        <v>497</v>
      </c>
      <c r="H48" s="2">
        <v>603</v>
      </c>
    </row>
    <row r="49" spans="1:8" ht="25.5">
      <c r="A49" s="2" t="s">
        <v>142</v>
      </c>
      <c r="B49" s="2" t="s">
        <v>47</v>
      </c>
      <c r="C49" s="2" t="s">
        <v>149</v>
      </c>
      <c r="D49" s="2">
        <v>248</v>
      </c>
      <c r="E49" s="2">
        <v>252</v>
      </c>
      <c r="F49" s="2">
        <v>368</v>
      </c>
      <c r="G49" s="2">
        <v>494</v>
      </c>
      <c r="H49" s="2">
        <v>600</v>
      </c>
    </row>
    <row r="50" spans="1:8" ht="25.5">
      <c r="A50" s="2" t="s">
        <v>142</v>
      </c>
      <c r="B50" s="2" t="s">
        <v>207</v>
      </c>
      <c r="C50" s="2" t="s">
        <v>149</v>
      </c>
      <c r="D50" s="2">
        <v>364</v>
      </c>
      <c r="E50" s="2">
        <v>482</v>
      </c>
      <c r="F50" s="2">
        <v>510</v>
      </c>
      <c r="G50" s="2">
        <v>505</v>
      </c>
      <c r="H50" s="2">
        <v>550</v>
      </c>
    </row>
    <row r="51" spans="1:8" ht="25.5">
      <c r="A51" s="2" t="s">
        <v>141</v>
      </c>
      <c r="B51" s="2" t="s">
        <v>173</v>
      </c>
      <c r="C51" s="2" t="s">
        <v>149</v>
      </c>
      <c r="D51" s="2">
        <v>351</v>
      </c>
      <c r="E51" s="2">
        <v>273</v>
      </c>
      <c r="F51" s="2">
        <v>325</v>
      </c>
      <c r="G51" s="2">
        <v>373</v>
      </c>
      <c r="H51" s="2">
        <v>454</v>
      </c>
    </row>
    <row r="52" spans="1:8" ht="25.5">
      <c r="A52" s="2" t="s">
        <v>141</v>
      </c>
      <c r="B52" s="2" t="s">
        <v>159</v>
      </c>
      <c r="C52" s="2" t="s">
        <v>149</v>
      </c>
      <c r="D52" s="2">
        <v>346</v>
      </c>
      <c r="E52" s="2">
        <v>263</v>
      </c>
      <c r="F52" s="2">
        <v>192</v>
      </c>
      <c r="G52" s="2">
        <v>236</v>
      </c>
      <c r="H52" s="2">
        <v>399</v>
      </c>
    </row>
    <row r="53" spans="1:8" ht="25.5">
      <c r="A53" s="2" t="s">
        <v>141</v>
      </c>
      <c r="B53" s="2" t="s">
        <v>174</v>
      </c>
      <c r="C53" s="2" t="s">
        <v>149</v>
      </c>
      <c r="D53" s="2">
        <v>246</v>
      </c>
      <c r="E53" s="2">
        <v>191</v>
      </c>
      <c r="F53" s="2">
        <v>228</v>
      </c>
      <c r="G53" s="2">
        <v>261</v>
      </c>
      <c r="H53" s="2">
        <v>318</v>
      </c>
    </row>
    <row r="54" spans="1:8" ht="25.5">
      <c r="A54" s="2" t="s">
        <v>141</v>
      </c>
      <c r="B54" s="2" t="s">
        <v>187</v>
      </c>
      <c r="C54" s="2" t="s">
        <v>149</v>
      </c>
      <c r="D54" s="2">
        <v>9</v>
      </c>
      <c r="E54" s="2">
        <v>19</v>
      </c>
      <c r="F54" s="2">
        <v>16</v>
      </c>
      <c r="G54" s="2">
        <v>17</v>
      </c>
      <c r="H54" s="2">
        <v>16</v>
      </c>
    </row>
  </sheetData>
  <printOptions/>
  <pageMargins left="0.787401575" right="0.787401575" top="1" bottom="1" header="0" footer="0"/>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Q81"/>
  <sheetViews>
    <sheetView zoomScale="90" zoomScaleNormal="90" zoomScalePageLayoutView="90" workbookViewId="0" topLeftCell="A1">
      <selection activeCell="P6" sqref="P6"/>
    </sheetView>
  </sheetViews>
  <sheetFormatPr defaultColWidth="11.00390625" defaultRowHeight="12.75"/>
  <cols>
    <col min="1" max="1" width="21.00390625" style="0" customWidth="1"/>
    <col min="2" max="2" width="9.625" style="0" customWidth="1"/>
    <col min="3" max="4" width="10.00390625" style="0" customWidth="1"/>
    <col min="5" max="5" width="5.875" style="4" customWidth="1"/>
    <col min="6" max="6" width="14.25390625" style="0" bestFit="1" customWidth="1"/>
    <col min="7" max="7" width="11.625" style="0" bestFit="1" customWidth="1"/>
    <col min="8" max="8" width="10.375" style="0" bestFit="1" customWidth="1"/>
    <col min="9" max="9" width="5.75390625" style="4" customWidth="1"/>
    <col min="10" max="10" width="17.00390625" style="0" customWidth="1"/>
    <col min="11" max="11" width="13.25390625" style="0" customWidth="1"/>
    <col min="12" max="12" width="5.50390625" style="4" customWidth="1"/>
    <col min="13" max="13" width="18.25390625" style="0" customWidth="1"/>
    <col min="14" max="14" width="19.625" style="0" customWidth="1"/>
    <col min="15" max="15" width="18.00390625" style="0" customWidth="1"/>
    <col min="16" max="16" width="21.375" style="0" customWidth="1"/>
  </cols>
  <sheetData>
    <row r="2" spans="1:16" ht="15">
      <c r="A2" s="172"/>
      <c r="B2" s="172"/>
      <c r="C2" s="172"/>
      <c r="D2" s="172"/>
      <c r="E2" s="173"/>
      <c r="F2" s="172"/>
      <c r="G2" s="172"/>
      <c r="H2" s="172"/>
      <c r="I2" s="173"/>
      <c r="J2" s="172"/>
      <c r="K2" s="172"/>
      <c r="L2" s="173"/>
      <c r="M2" s="258" t="s">
        <v>84</v>
      </c>
      <c r="N2" s="259"/>
      <c r="O2" s="259"/>
      <c r="P2" s="260"/>
    </row>
    <row r="3" spans="1:16" ht="15">
      <c r="A3" s="259" t="s">
        <v>229</v>
      </c>
      <c r="B3" s="259"/>
      <c r="C3" s="259"/>
      <c r="D3" s="260"/>
      <c r="E3" s="174"/>
      <c r="F3" s="258" t="s">
        <v>76</v>
      </c>
      <c r="G3" s="259"/>
      <c r="H3" s="260"/>
      <c r="I3" s="167"/>
      <c r="J3" s="261" t="s">
        <v>104</v>
      </c>
      <c r="K3" s="261"/>
      <c r="L3" s="167"/>
      <c r="M3" s="168"/>
      <c r="N3" s="169"/>
      <c r="O3" s="170"/>
      <c r="P3" s="219" t="s">
        <v>86</v>
      </c>
    </row>
    <row r="4" spans="1:16" ht="15" customHeight="1">
      <c r="A4" s="107" t="s">
        <v>74</v>
      </c>
      <c r="B4" s="107" t="s">
        <v>75</v>
      </c>
      <c r="C4" s="107">
        <v>2006</v>
      </c>
      <c r="D4" s="108">
        <v>2007</v>
      </c>
      <c r="E4" s="95"/>
      <c r="F4" s="99" t="s">
        <v>63</v>
      </c>
      <c r="G4" s="99" t="s">
        <v>64</v>
      </c>
      <c r="H4" s="99" t="s">
        <v>65</v>
      </c>
      <c r="I4" s="86"/>
      <c r="J4" s="103" t="s">
        <v>74</v>
      </c>
      <c r="K4" s="103" t="s">
        <v>105</v>
      </c>
      <c r="L4" s="76"/>
      <c r="M4" s="104" t="s">
        <v>74</v>
      </c>
      <c r="N4" s="105" t="s">
        <v>226</v>
      </c>
      <c r="O4" s="105" t="s">
        <v>227</v>
      </c>
      <c r="P4" s="106" t="s">
        <v>236</v>
      </c>
    </row>
    <row r="5" spans="1:16" ht="25.5">
      <c r="A5" s="19" t="s">
        <v>198</v>
      </c>
      <c r="B5" s="19" t="s">
        <v>149</v>
      </c>
      <c r="C5" s="20">
        <v>5830757</v>
      </c>
      <c r="D5" s="13">
        <v>6465299</v>
      </c>
      <c r="E5" s="112"/>
      <c r="F5" s="16" t="s">
        <v>79</v>
      </c>
      <c r="G5" s="17" t="s">
        <v>66</v>
      </c>
      <c r="H5" s="29">
        <f>0.096*D5</f>
        <v>620668.704</v>
      </c>
      <c r="I5" s="17"/>
      <c r="J5" s="79" t="s">
        <v>179</v>
      </c>
      <c r="K5" s="60">
        <v>1361740.3</v>
      </c>
      <c r="L5" s="62"/>
      <c r="M5" s="87" t="str">
        <f>A5</f>
        <v>Potatoes</v>
      </c>
      <c r="N5" s="118">
        <f>(H5*600)*(4/5.67)</f>
        <v>262716911.74603176</v>
      </c>
      <c r="O5" s="118">
        <f>(0.096*D5)*13585</f>
        <v>8431784343.84</v>
      </c>
      <c r="P5" s="70">
        <f>(0.0225*D5)*580</f>
        <v>84372151.95</v>
      </c>
    </row>
    <row r="6" spans="1:16" ht="25.5">
      <c r="A6" s="19" t="s">
        <v>53</v>
      </c>
      <c r="B6" s="19" t="s">
        <v>149</v>
      </c>
      <c r="C6" s="20">
        <v>3671312</v>
      </c>
      <c r="D6" s="13">
        <v>3628867</v>
      </c>
      <c r="E6" s="112"/>
      <c r="F6" s="16" t="s">
        <v>66</v>
      </c>
      <c r="G6" s="17" t="s">
        <v>66</v>
      </c>
      <c r="H6" s="29">
        <f>0.353*D6</f>
        <v>1280990.051</v>
      </c>
      <c r="I6" s="17"/>
      <c r="J6" s="80" t="s">
        <v>53</v>
      </c>
      <c r="K6" s="63">
        <v>1280990.05</v>
      </c>
      <c r="L6" s="62"/>
      <c r="M6" s="88" t="str">
        <f aca="true" t="shared" si="0" ref="M6:M25">A6</f>
        <v>Wheat</v>
      </c>
      <c r="N6" s="148">
        <f>(H6*600)*(4/5.67)</f>
        <v>542218011.005291</v>
      </c>
      <c r="O6" s="148">
        <f>(0.05*D6)*13585</f>
        <v>2464907909.75</v>
      </c>
      <c r="P6" s="70">
        <f>(0.0233*D6)*580</f>
        <v>49040508.638</v>
      </c>
    </row>
    <row r="7" spans="1:16" ht="25.5">
      <c r="A7" s="19" t="s">
        <v>179</v>
      </c>
      <c r="B7" s="19" t="s">
        <v>149</v>
      </c>
      <c r="C7" s="20">
        <v>2046512</v>
      </c>
      <c r="D7" s="13">
        <v>1897367</v>
      </c>
      <c r="E7" s="112"/>
      <c r="F7" s="30">
        <f>0.1355*D7</f>
        <v>257093.22850000003</v>
      </c>
      <c r="G7" s="31">
        <f>0.1235*D7</f>
        <v>234324.8245</v>
      </c>
      <c r="H7" s="29">
        <f>0.7177*D7</f>
        <v>1361740.2959</v>
      </c>
      <c r="I7" s="17"/>
      <c r="J7" s="81" t="s">
        <v>152</v>
      </c>
      <c r="K7" s="82">
        <v>731135.03</v>
      </c>
      <c r="L7" s="84"/>
      <c r="M7" s="88" t="str">
        <f t="shared" si="0"/>
        <v>Maize</v>
      </c>
      <c r="N7" s="148">
        <f aca="true" t="shared" si="1" ref="N7:N11">(H7*600)*(4/5.67)</f>
        <v>576398008.8465608</v>
      </c>
      <c r="O7" s="148">
        <f>(0.035*D7)*13585</f>
        <v>902150574.325</v>
      </c>
      <c r="P7" s="70">
        <f>(0.0945*D7)*580</f>
        <v>103994685.27000001</v>
      </c>
    </row>
    <row r="8" spans="1:16" ht="25.5">
      <c r="A8" s="19" t="s">
        <v>152</v>
      </c>
      <c r="B8" s="19" t="s">
        <v>149</v>
      </c>
      <c r="C8" s="20">
        <v>1481510</v>
      </c>
      <c r="D8" s="13">
        <v>1387353</v>
      </c>
      <c r="E8" s="112"/>
      <c r="F8" s="16" t="s">
        <v>66</v>
      </c>
      <c r="G8" s="17" t="s">
        <v>66</v>
      </c>
      <c r="H8" s="29">
        <f>0.527*D8</f>
        <v>731135.0310000001</v>
      </c>
      <c r="I8" s="17"/>
      <c r="J8" s="80" t="s">
        <v>198</v>
      </c>
      <c r="K8" s="63">
        <v>620668.7</v>
      </c>
      <c r="L8" s="62"/>
      <c r="M8" s="88" t="str">
        <f t="shared" si="0"/>
        <v>Barley</v>
      </c>
      <c r="N8" s="148">
        <f t="shared" si="1"/>
        <v>309475145.3968254</v>
      </c>
      <c r="O8" s="148" t="s">
        <v>83</v>
      </c>
      <c r="P8" s="70">
        <f>(0.0362*D8)*580</f>
        <v>29128863.588000003</v>
      </c>
    </row>
    <row r="9" spans="1:16" ht="25.5">
      <c r="A9" s="19" t="s">
        <v>51</v>
      </c>
      <c r="B9" s="19" t="s">
        <v>149</v>
      </c>
      <c r="C9" s="20">
        <v>1245723</v>
      </c>
      <c r="D9" s="13">
        <v>1315289</v>
      </c>
      <c r="E9" s="112"/>
      <c r="F9" s="30">
        <f>0.787275*D9</f>
        <v>1035494.1474749999</v>
      </c>
      <c r="G9" s="31">
        <f>0.71515*D9</f>
        <v>940628.92835</v>
      </c>
      <c r="H9" s="29">
        <f>0.197*D9</f>
        <v>259111.93300000002</v>
      </c>
      <c r="I9" s="17"/>
      <c r="J9" s="80" t="s">
        <v>150</v>
      </c>
      <c r="K9" s="63">
        <v>399679.02</v>
      </c>
      <c r="L9" s="62"/>
      <c r="M9" s="88" t="str">
        <f t="shared" si="0"/>
        <v>Tomatoes</v>
      </c>
      <c r="N9" s="148">
        <f t="shared" si="1"/>
        <v>109677008.67724869</v>
      </c>
      <c r="O9" s="148">
        <f>(0.097*D9)*13585</f>
        <v>1733215503.305</v>
      </c>
      <c r="P9" s="70">
        <f>(0.1101*D9)*580</f>
        <v>83991724.96200001</v>
      </c>
    </row>
    <row r="10" spans="1:16" ht="25.5">
      <c r="A10" s="19" t="s">
        <v>150</v>
      </c>
      <c r="B10" s="19" t="s">
        <v>149</v>
      </c>
      <c r="C10" s="20">
        <v>1002594</v>
      </c>
      <c r="D10" s="13">
        <v>916695</v>
      </c>
      <c r="E10" s="112"/>
      <c r="F10" s="30">
        <f>0.7623333333*D10</f>
        <v>698827.1549694435</v>
      </c>
      <c r="G10" s="31">
        <f>0.6733333333*D10</f>
        <v>617241.2999694435</v>
      </c>
      <c r="H10" s="29">
        <f>0.436*D10</f>
        <v>399679.02</v>
      </c>
      <c r="I10" s="17"/>
      <c r="J10" s="80" t="s">
        <v>51</v>
      </c>
      <c r="K10" s="63">
        <v>259111.93</v>
      </c>
      <c r="L10" s="62"/>
      <c r="M10" s="88" t="str">
        <f t="shared" si="0"/>
        <v>Apples</v>
      </c>
      <c r="N10" s="148">
        <f t="shared" si="1"/>
        <v>169176304.76190475</v>
      </c>
      <c r="O10" s="148">
        <f>(0.117*D10)*13585</f>
        <v>1457036284.275</v>
      </c>
      <c r="P10" s="70">
        <f>(0.0348*D10)*580</f>
        <v>18502571.88</v>
      </c>
    </row>
    <row r="11" spans="1:16" ht="25.5">
      <c r="A11" s="19" t="s">
        <v>189</v>
      </c>
      <c r="B11" s="19" t="s">
        <v>149</v>
      </c>
      <c r="C11" s="20">
        <v>935283</v>
      </c>
      <c r="D11" s="13">
        <v>829894</v>
      </c>
      <c r="E11" s="112"/>
      <c r="F11" s="30">
        <f>0.643*D11</f>
        <v>533621.8420000001</v>
      </c>
      <c r="G11" s="31">
        <f>0.54*D11</f>
        <v>448142.76</v>
      </c>
      <c r="H11" s="29">
        <f>0.188*D11</f>
        <v>156020.07200000001</v>
      </c>
      <c r="I11" s="17"/>
      <c r="J11" s="80" t="s">
        <v>189</v>
      </c>
      <c r="K11" s="63">
        <v>156020.7</v>
      </c>
      <c r="L11" s="62"/>
      <c r="M11" s="88" t="str">
        <f t="shared" si="0"/>
        <v>Oranges, Mandarines</v>
      </c>
      <c r="N11" s="148">
        <f t="shared" si="1"/>
        <v>66040242.11640211</v>
      </c>
      <c r="O11" s="148">
        <f>(0.117*D11)*13585</f>
        <v>1319070868.8300002</v>
      </c>
      <c r="P11" s="70">
        <f>(0.0558*D11)*580</f>
        <v>26858689.416</v>
      </c>
    </row>
    <row r="12" spans="1:16" ht="25.5">
      <c r="A12" s="19" t="s">
        <v>188</v>
      </c>
      <c r="B12" s="19" t="s">
        <v>149</v>
      </c>
      <c r="C12" s="20">
        <v>592823</v>
      </c>
      <c r="D12" s="13">
        <v>622888</v>
      </c>
      <c r="E12" s="112"/>
      <c r="F12" s="30">
        <f>0.3469*D12</f>
        <v>216079.8472</v>
      </c>
      <c r="G12" s="31">
        <f>0.295*D12</f>
        <v>183751.96</v>
      </c>
      <c r="H12" s="18">
        <f>((29.5*30/100)/100)*D12</f>
        <v>55125.587999999996</v>
      </c>
      <c r="I12" s="17"/>
      <c r="J12" s="80" t="s">
        <v>206</v>
      </c>
      <c r="K12" s="63">
        <v>145888.48</v>
      </c>
      <c r="L12" s="62"/>
      <c r="M12" s="88" t="str">
        <f t="shared" si="0"/>
        <v>Onions</v>
      </c>
      <c r="N12" s="148" t="s">
        <v>83</v>
      </c>
      <c r="O12" s="148" t="s">
        <v>83</v>
      </c>
      <c r="P12" s="70">
        <f>(0.0398*D12)*580</f>
        <v>14378746.592</v>
      </c>
    </row>
    <row r="13" spans="1:16" ht="25.5">
      <c r="A13" s="19" t="s">
        <v>216</v>
      </c>
      <c r="B13" s="19" t="s">
        <v>149</v>
      </c>
      <c r="C13" s="20">
        <v>548691</v>
      </c>
      <c r="D13" s="13">
        <v>530088</v>
      </c>
      <c r="E13" s="112"/>
      <c r="F13" s="16" t="s">
        <v>66</v>
      </c>
      <c r="G13" s="17" t="s">
        <v>66</v>
      </c>
      <c r="H13" s="29">
        <f>0.22*D13</f>
        <v>116619.36</v>
      </c>
      <c r="I13" s="17"/>
      <c r="J13" s="80" t="s">
        <v>216</v>
      </c>
      <c r="K13" s="63">
        <v>116619.36</v>
      </c>
      <c r="L13" s="62"/>
      <c r="M13" s="88" t="str">
        <f t="shared" si="0"/>
        <v>Sugar Beet</v>
      </c>
      <c r="N13" s="148">
        <f>(H13*600)*(4/5.67)</f>
        <v>49362692.06349206</v>
      </c>
      <c r="O13" s="148" t="s">
        <v>83</v>
      </c>
      <c r="P13" s="70" t="s">
        <v>83</v>
      </c>
    </row>
    <row r="14" spans="1:16" ht="25.5">
      <c r="A14" s="19" t="s">
        <v>223</v>
      </c>
      <c r="B14" s="19" t="s">
        <v>149</v>
      </c>
      <c r="C14" s="20">
        <v>515318</v>
      </c>
      <c r="D14" s="13">
        <v>478177</v>
      </c>
      <c r="E14" s="112"/>
      <c r="F14" s="30" t="s">
        <v>83</v>
      </c>
      <c r="G14" s="31" t="s">
        <v>83</v>
      </c>
      <c r="H14" s="29">
        <f>0.1893*D14</f>
        <v>90518.9061</v>
      </c>
      <c r="I14" s="17"/>
      <c r="J14" s="80" t="s">
        <v>201</v>
      </c>
      <c r="K14" s="63">
        <v>113887.44</v>
      </c>
      <c r="L14" s="62"/>
      <c r="M14" s="88" t="str">
        <f t="shared" si="0"/>
        <v>Sunflowerseed</v>
      </c>
      <c r="N14" s="148">
        <f aca="true" t="shared" si="2" ref="N14:N20">(H14*600)*(4/5.67)</f>
        <v>38314880.88888888</v>
      </c>
      <c r="O14" s="148">
        <f>(0.1185*D14)*13585</f>
        <v>769780093.5825</v>
      </c>
      <c r="P14" s="70">
        <f>(0.1312*D14)*580</f>
        <v>36387356.992000006</v>
      </c>
    </row>
    <row r="15" spans="1:16" ht="25.5">
      <c r="A15" s="19" t="s">
        <v>206</v>
      </c>
      <c r="B15" s="19" t="s">
        <v>149</v>
      </c>
      <c r="C15" s="20">
        <v>421688</v>
      </c>
      <c r="D15" s="13">
        <v>472131</v>
      </c>
      <c r="E15" s="112"/>
      <c r="F15" s="16" t="s">
        <v>66</v>
      </c>
      <c r="G15" s="17" t="s">
        <v>66</v>
      </c>
      <c r="H15" s="29">
        <f>0.309*D15</f>
        <v>145888.479</v>
      </c>
      <c r="I15" s="17"/>
      <c r="J15" s="80" t="s">
        <v>106</v>
      </c>
      <c r="K15" s="63">
        <v>108850.84</v>
      </c>
      <c r="L15" s="62"/>
      <c r="M15" s="88" t="str">
        <f t="shared" si="0"/>
        <v>Rye</v>
      </c>
      <c r="N15" s="148">
        <f t="shared" si="2"/>
        <v>61751737.142857134</v>
      </c>
      <c r="O15" s="148" t="s">
        <v>83</v>
      </c>
      <c r="P15" s="70">
        <f>(0.033*D15)*580</f>
        <v>9036587.34</v>
      </c>
    </row>
    <row r="16" spans="1:16" ht="25.5">
      <c r="A16" s="19" t="s">
        <v>184</v>
      </c>
      <c r="B16" s="19" t="s">
        <v>149</v>
      </c>
      <c r="C16" s="20">
        <v>384528</v>
      </c>
      <c r="D16" s="13">
        <v>467171</v>
      </c>
      <c r="E16" s="112"/>
      <c r="F16" s="16" t="s">
        <v>66</v>
      </c>
      <c r="G16" s="17" t="s">
        <v>66</v>
      </c>
      <c r="H16" s="29">
        <f>0.233*D16</f>
        <v>108850.84300000001</v>
      </c>
      <c r="I16" s="17"/>
      <c r="J16" s="80" t="s">
        <v>171</v>
      </c>
      <c r="K16" s="63">
        <v>101899.13</v>
      </c>
      <c r="L16" s="62"/>
      <c r="M16" s="88" t="str">
        <f t="shared" si="0"/>
        <v>Oats</v>
      </c>
      <c r="N16" s="148">
        <f t="shared" si="2"/>
        <v>46074430.8994709</v>
      </c>
      <c r="O16" s="148" t="s">
        <v>83</v>
      </c>
      <c r="P16" s="70">
        <f>(0.0867*D16)*580</f>
        <v>23492160.906000003</v>
      </c>
    </row>
    <row r="17" spans="1:16" ht="25.5">
      <c r="A17" s="19" t="s">
        <v>151</v>
      </c>
      <c r="B17" s="19" t="s">
        <v>149</v>
      </c>
      <c r="C17" s="20">
        <v>342576</v>
      </c>
      <c r="D17" s="13">
        <v>432955</v>
      </c>
      <c r="E17" s="112"/>
      <c r="F17" s="30">
        <f>0.5025*D17</f>
        <v>217559.88749999998</v>
      </c>
      <c r="G17" s="31" t="s">
        <v>83</v>
      </c>
      <c r="H17" s="29">
        <f>0.095*D17</f>
        <v>41130.725</v>
      </c>
      <c r="I17" s="17"/>
      <c r="J17" s="80" t="s">
        <v>223</v>
      </c>
      <c r="K17" s="63">
        <v>90518.91</v>
      </c>
      <c r="L17" s="62"/>
      <c r="M17" s="88" t="str">
        <f t="shared" si="0"/>
        <v>Bananas</v>
      </c>
      <c r="N17" s="148">
        <f t="shared" si="2"/>
        <v>17409830.687830687</v>
      </c>
      <c r="O17" s="148">
        <f>(0.1735*D17)*13585</f>
        <v>1020473852.6124998</v>
      </c>
      <c r="P17" s="70">
        <f>(0.086*D17)*580</f>
        <v>21595795.4</v>
      </c>
    </row>
    <row r="18" spans="1:16" ht="25.5">
      <c r="A18" s="19" t="s">
        <v>171</v>
      </c>
      <c r="B18" s="19" t="s">
        <v>149</v>
      </c>
      <c r="C18" s="20">
        <v>517391</v>
      </c>
      <c r="D18" s="13">
        <v>369434</v>
      </c>
      <c r="E18" s="112"/>
      <c r="F18" s="16" t="s">
        <v>79</v>
      </c>
      <c r="G18" s="17" t="s">
        <v>79</v>
      </c>
      <c r="H18" s="29">
        <f>0.275825*D18</f>
        <v>101899.13304999999</v>
      </c>
      <c r="I18" s="17"/>
      <c r="J18" s="80" t="s">
        <v>213</v>
      </c>
      <c r="K18" s="63">
        <v>67804</v>
      </c>
      <c r="L18" s="62"/>
      <c r="M18" s="88" t="str">
        <f t="shared" si="0"/>
        <v>Grapes</v>
      </c>
      <c r="N18" s="148">
        <f t="shared" si="2"/>
        <v>43131908.16931216</v>
      </c>
      <c r="O18" s="148">
        <f>(0.0362*D18)*13585</f>
        <v>181679144.21800002</v>
      </c>
      <c r="P18" s="70">
        <f>(0.0975*D18)*580</f>
        <v>20891492.700000003</v>
      </c>
    </row>
    <row r="19" spans="1:16" ht="25.5">
      <c r="A19" s="19" t="s">
        <v>217</v>
      </c>
      <c r="B19" s="19" t="s">
        <v>149</v>
      </c>
      <c r="C19" s="20">
        <v>149646</v>
      </c>
      <c r="D19" s="13">
        <v>187038</v>
      </c>
      <c r="E19" s="112"/>
      <c r="F19" s="16" t="s">
        <v>66</v>
      </c>
      <c r="G19" s="17" t="s">
        <v>66</v>
      </c>
      <c r="H19" s="29">
        <f>(0.3659+0.486/2)*D19</f>
        <v>113887.4382</v>
      </c>
      <c r="I19" s="17"/>
      <c r="J19" s="80" t="s">
        <v>188</v>
      </c>
      <c r="K19" s="63">
        <v>55125.59</v>
      </c>
      <c r="L19" s="62"/>
      <c r="M19" s="88" t="str">
        <f t="shared" si="0"/>
        <v>Rape and (Mustardseed)</v>
      </c>
      <c r="N19" s="148">
        <f t="shared" si="2"/>
        <v>48206323.047619045</v>
      </c>
      <c r="O19" s="148" t="s">
        <v>83</v>
      </c>
      <c r="P19" s="70">
        <f>((0.045+0.0303/2)*D19)*580</f>
        <v>6525194.706</v>
      </c>
    </row>
    <row r="20" spans="1:16" ht="25.5">
      <c r="A20" s="19" t="s">
        <v>213</v>
      </c>
      <c r="B20" s="19" t="s">
        <v>149</v>
      </c>
      <c r="C20" s="20">
        <v>75016</v>
      </c>
      <c r="D20" s="13">
        <v>154100</v>
      </c>
      <c r="E20" s="112"/>
      <c r="F20" s="16" t="s">
        <v>66</v>
      </c>
      <c r="G20" s="17" t="s">
        <v>66</v>
      </c>
      <c r="H20" s="29">
        <f>0.44*D20</f>
        <v>67804</v>
      </c>
      <c r="I20" s="17"/>
      <c r="J20" s="80" t="s">
        <v>151</v>
      </c>
      <c r="K20" s="63">
        <v>41130.73</v>
      </c>
      <c r="L20" s="62"/>
      <c r="M20" s="88" t="str">
        <f t="shared" si="0"/>
        <v>Soyabeans</v>
      </c>
      <c r="N20" s="148">
        <f t="shared" si="2"/>
        <v>28700105.820105817</v>
      </c>
      <c r="O20" s="148" t="s">
        <v>83</v>
      </c>
      <c r="P20" s="70">
        <f>(0.1624*D20)*580</f>
        <v>14514987.199999997</v>
      </c>
    </row>
    <row r="21" spans="1:16" ht="25.5">
      <c r="A21" s="233" t="s">
        <v>193</v>
      </c>
      <c r="B21" s="233" t="s">
        <v>149</v>
      </c>
      <c r="C21" s="234">
        <v>184013</v>
      </c>
      <c r="D21" s="235">
        <v>131936</v>
      </c>
      <c r="E21" s="236"/>
      <c r="F21" s="237" t="s">
        <v>83</v>
      </c>
      <c r="G21" s="238" t="s">
        <v>83</v>
      </c>
      <c r="H21" s="239" t="s">
        <v>83</v>
      </c>
      <c r="I21" s="240"/>
      <c r="J21" s="241" t="s">
        <v>54</v>
      </c>
      <c r="K21" s="242">
        <v>29262.55</v>
      </c>
      <c r="L21" s="243"/>
      <c r="M21" s="244" t="str">
        <f t="shared" si="0"/>
        <v>Peas</v>
      </c>
      <c r="N21" s="245" t="s">
        <v>83</v>
      </c>
      <c r="O21" s="245" t="s">
        <v>83</v>
      </c>
      <c r="P21" s="246" t="s">
        <v>83</v>
      </c>
    </row>
    <row r="22" spans="1:16" ht="25.5">
      <c r="A22" s="19" t="s">
        <v>54</v>
      </c>
      <c r="B22" s="19" t="s">
        <v>149</v>
      </c>
      <c r="C22" s="20">
        <v>119395</v>
      </c>
      <c r="D22" s="13">
        <v>106091</v>
      </c>
      <c r="E22" s="112"/>
      <c r="F22" s="16" t="s">
        <v>66</v>
      </c>
      <c r="G22" s="17" t="s">
        <v>66</v>
      </c>
      <c r="H22" s="29">
        <f>0.275825*D22</f>
        <v>29262.550075</v>
      </c>
      <c r="I22" s="17"/>
      <c r="J22" s="80" t="s">
        <v>178</v>
      </c>
      <c r="K22" s="63">
        <v>22087.68</v>
      </c>
      <c r="L22" s="62"/>
      <c r="M22" s="88" t="str">
        <f t="shared" si="0"/>
        <v>Wine</v>
      </c>
      <c r="N22" s="148">
        <f>(H22*600)*(4/5.67)</f>
        <v>12386264.58201058</v>
      </c>
      <c r="O22" s="148">
        <f>(0.0362*D22)*13585</f>
        <v>52173113.70700001</v>
      </c>
      <c r="P22" s="70">
        <f>(0.0975*D22)*580</f>
        <v>5999446.05</v>
      </c>
    </row>
    <row r="23" spans="1:16" ht="25.5">
      <c r="A23" s="19" t="s">
        <v>178</v>
      </c>
      <c r="B23" s="19" t="s">
        <v>149</v>
      </c>
      <c r="C23" s="20">
        <v>128298</v>
      </c>
      <c r="D23" s="13">
        <v>92032</v>
      </c>
      <c r="E23" s="112"/>
      <c r="F23" s="30">
        <f>0.642*D23</f>
        <v>59084.544</v>
      </c>
      <c r="G23" s="31">
        <f>0.5564*D23</f>
        <v>51206.6048</v>
      </c>
      <c r="H23" s="29">
        <f>0.24*D23</f>
        <v>22087.68</v>
      </c>
      <c r="I23" s="17"/>
      <c r="J23" s="80" t="s">
        <v>108</v>
      </c>
      <c r="K23" s="63">
        <v>17160.96</v>
      </c>
      <c r="L23" s="17"/>
      <c r="M23" s="88" t="str">
        <f t="shared" si="0"/>
        <v>Lemons, Limes</v>
      </c>
      <c r="N23" s="148">
        <f aca="true" t="shared" si="3" ref="N23:N25">(H23*600)*(4/5.67)</f>
        <v>9349282.53968254</v>
      </c>
      <c r="O23" s="148">
        <f>(0.1777*D23)*13585</f>
        <v>222170263.744</v>
      </c>
      <c r="P23" s="70">
        <f>(0.0761*D23)*580</f>
        <v>4062108.4159999997</v>
      </c>
    </row>
    <row r="24" spans="1:16" ht="25.5">
      <c r="A24" s="19" t="s">
        <v>196</v>
      </c>
      <c r="B24" s="19" t="s">
        <v>149</v>
      </c>
      <c r="C24" s="20">
        <v>68133</v>
      </c>
      <c r="D24" s="13">
        <v>85462</v>
      </c>
      <c r="E24" s="112"/>
      <c r="F24" s="16" t="s">
        <v>66</v>
      </c>
      <c r="G24" s="17" t="s">
        <v>66</v>
      </c>
      <c r="H24" s="29">
        <f>0.1073*D24</f>
        <v>9170.072600000001</v>
      </c>
      <c r="I24" s="17"/>
      <c r="J24" s="93" t="s">
        <v>196</v>
      </c>
      <c r="K24" s="67">
        <v>9170.07</v>
      </c>
      <c r="L24" s="17"/>
      <c r="M24" s="88" t="str">
        <f t="shared" si="0"/>
        <v>Pineapples</v>
      </c>
      <c r="N24" s="148">
        <f t="shared" si="3"/>
        <v>3881512.2116402118</v>
      </c>
      <c r="O24" s="148">
        <f>(0.063*D24)*13585</f>
        <v>73143080.00999999</v>
      </c>
      <c r="P24" s="70">
        <f>(0.0245*D24)*580</f>
        <v>1214415.02</v>
      </c>
    </row>
    <row r="25" spans="1:16" ht="25.5">
      <c r="A25" s="19" t="s">
        <v>203</v>
      </c>
      <c r="B25" s="19" t="s">
        <v>149</v>
      </c>
      <c r="C25" s="20">
        <v>47080</v>
      </c>
      <c r="D25" s="13">
        <v>50105</v>
      </c>
      <c r="E25" s="112"/>
      <c r="F25" s="32" t="s">
        <v>83</v>
      </c>
      <c r="G25" s="33" t="s">
        <v>83</v>
      </c>
      <c r="H25" s="34">
        <f>0.3425*D25</f>
        <v>17160.9625</v>
      </c>
      <c r="I25" s="17"/>
      <c r="L25" s="17"/>
      <c r="M25" s="89" t="str">
        <f t="shared" si="0"/>
        <v>Rice (Paddy Equivalent)</v>
      </c>
      <c r="N25" s="119">
        <f t="shared" si="3"/>
        <v>7263899.47089947</v>
      </c>
      <c r="O25" s="119">
        <f>(0.031*D25)*13585</f>
        <v>21100969.174999997</v>
      </c>
      <c r="P25" s="132">
        <f>(0.0369*D25)*580</f>
        <v>1072347.21</v>
      </c>
    </row>
    <row r="26" spans="1:16" ht="25.5">
      <c r="A26" s="19" t="s">
        <v>187</v>
      </c>
      <c r="B26" s="19" t="s">
        <v>149</v>
      </c>
      <c r="C26" s="20">
        <v>36627</v>
      </c>
      <c r="D26" s="13">
        <v>45554</v>
      </c>
      <c r="E26" s="112"/>
      <c r="F26" s="31"/>
      <c r="G26" s="31"/>
      <c r="H26" s="31"/>
      <c r="I26" s="17"/>
      <c r="J26" s="31"/>
      <c r="K26" s="31"/>
      <c r="L26" s="17"/>
      <c r="M26" s="97"/>
      <c r="N26" s="56"/>
      <c r="O26" s="56"/>
      <c r="P26" s="56"/>
    </row>
    <row r="27" spans="1:16" ht="25.5">
      <c r="A27" s="19" t="s">
        <v>154</v>
      </c>
      <c r="B27" s="19" t="s">
        <v>149</v>
      </c>
      <c r="C27" s="20">
        <v>43000</v>
      </c>
      <c r="D27" s="13">
        <v>43000</v>
      </c>
      <c r="E27" s="112"/>
      <c r="F27" s="31"/>
      <c r="G27" s="31"/>
      <c r="H27" s="31"/>
      <c r="I27" s="17"/>
      <c r="J27" s="31"/>
      <c r="K27" s="31"/>
      <c r="L27" s="17"/>
      <c r="M27" s="97"/>
      <c r="N27" s="56"/>
      <c r="O27" s="56"/>
      <c r="P27" s="56"/>
    </row>
    <row r="28" spans="1:16" ht="25.5">
      <c r="A28" s="19" t="s">
        <v>153</v>
      </c>
      <c r="B28" s="19" t="s">
        <v>149</v>
      </c>
      <c r="C28" s="20">
        <v>37589</v>
      </c>
      <c r="D28" s="13">
        <v>34559</v>
      </c>
      <c r="E28" s="112"/>
      <c r="F28" s="31"/>
      <c r="G28" s="31"/>
      <c r="H28" s="31"/>
      <c r="I28" s="17"/>
      <c r="J28" s="31"/>
      <c r="K28" s="31"/>
      <c r="L28" s="17"/>
      <c r="M28" s="97"/>
      <c r="N28" s="56"/>
      <c r="O28" s="56"/>
      <c r="P28" s="56"/>
    </row>
    <row r="29" spans="1:16" ht="25.5">
      <c r="A29" s="19" t="s">
        <v>202</v>
      </c>
      <c r="B29" s="19" t="s">
        <v>149</v>
      </c>
      <c r="C29" s="20">
        <v>31403</v>
      </c>
      <c r="D29" s="13">
        <v>33420</v>
      </c>
      <c r="E29" s="112"/>
      <c r="F29" s="31"/>
      <c r="G29" s="31"/>
      <c r="H29" s="31"/>
      <c r="I29" s="17"/>
      <c r="J29" s="31"/>
      <c r="K29" s="31"/>
      <c r="L29" s="17"/>
      <c r="M29" s="97"/>
      <c r="N29" s="56"/>
      <c r="O29" s="56"/>
      <c r="P29" s="56"/>
    </row>
    <row r="30" spans="1:16" ht="25.5">
      <c r="A30" s="19" t="s">
        <v>183</v>
      </c>
      <c r="B30" s="19" t="s">
        <v>149</v>
      </c>
      <c r="C30" s="20">
        <v>31235</v>
      </c>
      <c r="D30" s="13">
        <v>32818</v>
      </c>
      <c r="E30" s="112"/>
      <c r="F30" s="31"/>
      <c r="G30" s="31"/>
      <c r="H30" s="31"/>
      <c r="I30" s="17"/>
      <c r="J30" s="31"/>
      <c r="K30" s="31"/>
      <c r="L30" s="17"/>
      <c r="M30" s="97"/>
      <c r="N30" s="56"/>
      <c r="O30" s="56"/>
      <c r="P30" s="56"/>
    </row>
    <row r="31" spans="1:16" ht="25.5">
      <c r="A31" s="19" t="s">
        <v>170</v>
      </c>
      <c r="B31" s="19" t="s">
        <v>149</v>
      </c>
      <c r="C31" s="20">
        <v>23664</v>
      </c>
      <c r="D31" s="13">
        <v>26119</v>
      </c>
      <c r="E31" s="112"/>
      <c r="F31" s="31"/>
      <c r="G31" s="31"/>
      <c r="H31" s="31"/>
      <c r="I31" s="17"/>
      <c r="J31" s="31"/>
      <c r="K31" s="31"/>
      <c r="L31" s="17"/>
      <c r="M31" s="97"/>
      <c r="N31" s="56"/>
      <c r="O31" s="56"/>
      <c r="P31" s="56"/>
    </row>
    <row r="32" spans="1:16" ht="25.5">
      <c r="A32" s="19" t="s">
        <v>164</v>
      </c>
      <c r="B32" s="19" t="s">
        <v>149</v>
      </c>
      <c r="C32" s="20">
        <v>24092</v>
      </c>
      <c r="D32" s="13">
        <v>25853</v>
      </c>
      <c r="E32" s="112"/>
      <c r="F32" s="31"/>
      <c r="G32" s="31"/>
      <c r="H32" s="31"/>
      <c r="I32" s="17"/>
      <c r="J32" s="31"/>
      <c r="K32" s="31"/>
      <c r="L32" s="17"/>
      <c r="M32" s="97"/>
      <c r="N32" s="56"/>
      <c r="O32" s="56"/>
      <c r="P32" s="56"/>
    </row>
    <row r="33" spans="1:16" ht="25.5">
      <c r="A33" s="19" t="s">
        <v>181</v>
      </c>
      <c r="B33" s="19" t="s">
        <v>149</v>
      </c>
      <c r="C33" s="20">
        <v>19706</v>
      </c>
      <c r="D33" s="13">
        <v>18139</v>
      </c>
      <c r="E33" s="112"/>
      <c r="F33" s="31"/>
      <c r="G33" s="31"/>
      <c r="H33" s="31"/>
      <c r="I33" s="17"/>
      <c r="J33" s="31"/>
      <c r="K33" s="31"/>
      <c r="L33" s="17"/>
      <c r="M33" s="97"/>
      <c r="N33" s="56"/>
      <c r="O33" s="56"/>
      <c r="P33" s="56"/>
    </row>
    <row r="34" spans="1:16" ht="25.5">
      <c r="A34" s="19" t="s">
        <v>215</v>
      </c>
      <c r="B34" s="19" t="s">
        <v>149</v>
      </c>
      <c r="C34" s="20">
        <v>23515</v>
      </c>
      <c r="D34" s="13">
        <v>16365</v>
      </c>
      <c r="E34" s="112"/>
      <c r="F34" s="31"/>
      <c r="G34" s="31"/>
      <c r="H34" s="31"/>
      <c r="I34" s="17"/>
      <c r="J34" s="31"/>
      <c r="K34" s="31"/>
      <c r="L34" s="17"/>
      <c r="M34" s="97"/>
      <c r="N34" s="56"/>
      <c r="O34" s="56"/>
      <c r="P34" s="56"/>
    </row>
    <row r="35" spans="1:16" ht="25.5">
      <c r="A35" s="19" t="s">
        <v>221</v>
      </c>
      <c r="B35" s="19" t="s">
        <v>149</v>
      </c>
      <c r="C35" s="20">
        <v>23515</v>
      </c>
      <c r="D35" s="13">
        <v>16365</v>
      </c>
      <c r="E35" s="112"/>
      <c r="F35" s="31"/>
      <c r="G35" s="31"/>
      <c r="H35" s="31"/>
      <c r="I35" s="17"/>
      <c r="J35" s="31"/>
      <c r="K35" s="31"/>
      <c r="L35" s="17"/>
      <c r="M35" s="97"/>
      <c r="N35" s="56"/>
      <c r="O35" s="56"/>
      <c r="P35" s="56"/>
    </row>
    <row r="36" spans="1:16" ht="25.5">
      <c r="A36" s="19" t="s">
        <v>222</v>
      </c>
      <c r="B36" s="19" t="s">
        <v>149</v>
      </c>
      <c r="C36" s="20">
        <v>21633</v>
      </c>
      <c r="D36" s="13">
        <v>15055</v>
      </c>
      <c r="E36" s="112"/>
      <c r="F36" s="31"/>
      <c r="G36" s="31"/>
      <c r="H36" s="31"/>
      <c r="I36" s="17"/>
      <c r="J36" s="31"/>
      <c r="K36" s="31"/>
      <c r="L36" s="17"/>
      <c r="M36" s="97"/>
      <c r="N36" s="56"/>
      <c r="O36" s="56"/>
      <c r="P36" s="56"/>
    </row>
    <row r="37" spans="1:16" ht="25.5">
      <c r="A37" s="19" t="s">
        <v>166</v>
      </c>
      <c r="B37" s="19" t="s">
        <v>149</v>
      </c>
      <c r="C37" s="20">
        <v>11996</v>
      </c>
      <c r="D37" s="13">
        <v>11177</v>
      </c>
      <c r="E37" s="112"/>
      <c r="F37" s="31"/>
      <c r="G37" s="31"/>
      <c r="H37" s="31"/>
      <c r="I37" s="17"/>
      <c r="J37" s="31"/>
      <c r="K37" s="31"/>
      <c r="L37" s="17"/>
      <c r="M37" s="97"/>
      <c r="N37" s="56"/>
      <c r="O37" s="56"/>
      <c r="P37" s="56"/>
    </row>
    <row r="38" spans="1:16" ht="25.5">
      <c r="A38" s="19" t="s">
        <v>186</v>
      </c>
      <c r="B38" s="19" t="s">
        <v>149</v>
      </c>
      <c r="C38" s="20">
        <v>10518</v>
      </c>
      <c r="D38" s="13">
        <v>11115</v>
      </c>
      <c r="E38" s="112"/>
      <c r="F38" s="31"/>
      <c r="G38" s="31"/>
      <c r="H38" s="31"/>
      <c r="I38" s="17"/>
      <c r="J38" s="31"/>
      <c r="K38" s="31"/>
      <c r="L38" s="17"/>
      <c r="M38" s="97"/>
      <c r="N38" s="56"/>
      <c r="O38" s="56"/>
      <c r="P38" s="56"/>
    </row>
    <row r="39" spans="1:16" ht="25.5">
      <c r="A39" s="19" t="s">
        <v>71</v>
      </c>
      <c r="B39" s="19" t="s">
        <v>149</v>
      </c>
      <c r="C39" s="20">
        <v>10362</v>
      </c>
      <c r="D39" s="13">
        <v>10420</v>
      </c>
      <c r="E39" s="112"/>
      <c r="F39" s="31"/>
      <c r="G39" s="31"/>
      <c r="H39" s="31"/>
      <c r="I39" s="17"/>
      <c r="J39" s="31"/>
      <c r="K39" s="31"/>
      <c r="L39" s="17"/>
      <c r="M39" s="97"/>
      <c r="N39" s="56"/>
      <c r="O39" s="56"/>
      <c r="P39" s="56"/>
    </row>
    <row r="40" spans="1:16" ht="25.5">
      <c r="A40" s="19" t="s">
        <v>163</v>
      </c>
      <c r="B40" s="19" t="s">
        <v>149</v>
      </c>
      <c r="C40" s="20">
        <v>6484</v>
      </c>
      <c r="D40" s="13">
        <v>8758</v>
      </c>
      <c r="E40" s="112"/>
      <c r="F40" s="31"/>
      <c r="G40" s="31"/>
      <c r="H40" s="31"/>
      <c r="I40" s="17"/>
      <c r="J40" s="31"/>
      <c r="K40" s="31"/>
      <c r="L40" s="17"/>
      <c r="M40" s="97"/>
      <c r="N40" s="56"/>
      <c r="O40" s="56"/>
      <c r="P40" s="56"/>
    </row>
    <row r="41" spans="1:16" ht="25.5">
      <c r="A41" s="19" t="s">
        <v>211</v>
      </c>
      <c r="B41" s="19" t="s">
        <v>149</v>
      </c>
      <c r="C41" s="20">
        <v>6747</v>
      </c>
      <c r="D41" s="13">
        <v>7526</v>
      </c>
      <c r="E41" s="112"/>
      <c r="F41" s="31"/>
      <c r="G41" s="31"/>
      <c r="H41" s="31"/>
      <c r="I41" s="17"/>
      <c r="J41" s="31"/>
      <c r="K41" s="31"/>
      <c r="L41" s="17"/>
      <c r="M41" s="97"/>
      <c r="N41" s="56"/>
      <c r="O41" s="56"/>
      <c r="P41" s="56"/>
    </row>
    <row r="42" spans="1:16" ht="25.5">
      <c r="A42" s="19" t="s">
        <v>168</v>
      </c>
      <c r="B42" s="19" t="s">
        <v>149</v>
      </c>
      <c r="C42" s="20">
        <v>5939</v>
      </c>
      <c r="D42" s="13">
        <v>6368</v>
      </c>
      <c r="E42" s="112"/>
      <c r="F42" s="31"/>
      <c r="G42" s="31"/>
      <c r="H42" s="31"/>
      <c r="I42" s="17"/>
      <c r="J42" s="31"/>
      <c r="K42" s="31"/>
      <c r="L42" s="17"/>
      <c r="M42" s="97"/>
      <c r="N42" s="56"/>
      <c r="O42" s="56"/>
      <c r="P42" s="56"/>
    </row>
    <row r="43" spans="1:16" ht="25.5">
      <c r="A43" s="19" t="s">
        <v>47</v>
      </c>
      <c r="B43" s="19" t="s">
        <v>149</v>
      </c>
      <c r="C43" s="20">
        <v>6090</v>
      </c>
      <c r="D43" s="13">
        <v>5918</v>
      </c>
      <c r="E43" s="112"/>
      <c r="F43" s="31"/>
      <c r="G43" s="31"/>
      <c r="H43" s="31"/>
      <c r="I43" s="17"/>
      <c r="J43" s="31"/>
      <c r="K43" s="31"/>
      <c r="L43" s="17"/>
      <c r="M43" s="97"/>
      <c r="N43" s="57"/>
      <c r="O43" s="57"/>
      <c r="P43" s="57"/>
    </row>
    <row r="44" spans="1:16" ht="25.5">
      <c r="A44" s="19" t="s">
        <v>46</v>
      </c>
      <c r="B44" s="19" t="s">
        <v>149</v>
      </c>
      <c r="C44" s="20">
        <v>3500</v>
      </c>
      <c r="D44" s="13">
        <v>5161</v>
      </c>
      <c r="E44" s="112"/>
      <c r="F44" s="31"/>
      <c r="G44" s="31"/>
      <c r="H44" s="31"/>
      <c r="I44" s="17"/>
      <c r="J44" s="31"/>
      <c r="K44" s="31"/>
      <c r="L44" s="17"/>
      <c r="M44" s="97"/>
      <c r="N44" s="57"/>
      <c r="O44" s="57"/>
      <c r="P44" s="57"/>
    </row>
    <row r="45" spans="1:16" ht="25.5">
      <c r="A45" s="19" t="s">
        <v>50</v>
      </c>
      <c r="B45" s="19" t="s">
        <v>149</v>
      </c>
      <c r="C45" s="20">
        <v>4928</v>
      </c>
      <c r="D45" s="13">
        <v>4684</v>
      </c>
      <c r="E45" s="112"/>
      <c r="F45" s="31"/>
      <c r="G45" s="31"/>
      <c r="H45" s="31"/>
      <c r="I45" s="17"/>
      <c r="J45" s="31"/>
      <c r="K45" s="31"/>
      <c r="L45" s="17"/>
      <c r="M45" s="97"/>
      <c r="N45" s="57"/>
      <c r="O45" s="57"/>
      <c r="P45" s="57"/>
    </row>
    <row r="46" spans="1:16" ht="25.5">
      <c r="A46" s="19" t="s">
        <v>173</v>
      </c>
      <c r="B46" s="19" t="s">
        <v>149</v>
      </c>
      <c r="C46" s="20">
        <v>4145</v>
      </c>
      <c r="D46" s="13">
        <v>4371</v>
      </c>
      <c r="E46" s="112"/>
      <c r="F46" s="31"/>
      <c r="G46" s="31"/>
      <c r="H46" s="31"/>
      <c r="I46" s="17"/>
      <c r="J46" s="31"/>
      <c r="K46" s="31"/>
      <c r="L46" s="17"/>
      <c r="M46" s="97"/>
      <c r="N46" s="57"/>
      <c r="O46" s="57"/>
      <c r="P46" s="57"/>
    </row>
    <row r="47" spans="1:16" ht="25.5">
      <c r="A47" s="19" t="s">
        <v>212</v>
      </c>
      <c r="B47" s="19" t="s">
        <v>149</v>
      </c>
      <c r="C47" s="20">
        <v>4227</v>
      </c>
      <c r="D47" s="13">
        <v>4318</v>
      </c>
      <c r="E47" s="112"/>
      <c r="F47" s="31"/>
      <c r="G47" s="31"/>
      <c r="H47" s="31"/>
      <c r="I47" s="17"/>
      <c r="J47" s="31"/>
      <c r="K47" s="31"/>
      <c r="L47" s="17"/>
      <c r="M47" s="97"/>
      <c r="N47" s="57"/>
      <c r="O47" s="57"/>
      <c r="P47" s="57"/>
    </row>
    <row r="48" spans="1:16" ht="25.5">
      <c r="A48" s="19" t="s">
        <v>174</v>
      </c>
      <c r="B48" s="19" t="s">
        <v>149</v>
      </c>
      <c r="C48" s="20">
        <v>2902</v>
      </c>
      <c r="D48" s="13">
        <v>3060</v>
      </c>
      <c r="E48" s="112"/>
      <c r="F48" s="31"/>
      <c r="G48" s="31"/>
      <c r="H48" s="31"/>
      <c r="I48" s="17"/>
      <c r="J48" s="31"/>
      <c r="K48" s="31"/>
      <c r="L48" s="17"/>
      <c r="M48" s="97"/>
      <c r="N48" s="56"/>
      <c r="O48" s="56"/>
      <c r="P48" s="56"/>
    </row>
    <row r="49" spans="1:16" ht="25.5">
      <c r="A49" s="19" t="s">
        <v>61</v>
      </c>
      <c r="B49" s="19" t="s">
        <v>149</v>
      </c>
      <c r="C49" s="20">
        <v>4422</v>
      </c>
      <c r="D49" s="13">
        <v>2555</v>
      </c>
      <c r="E49" s="112"/>
      <c r="F49" s="31"/>
      <c r="G49" s="31"/>
      <c r="H49" s="31"/>
      <c r="I49" s="17"/>
      <c r="J49" s="31"/>
      <c r="K49" s="31"/>
      <c r="L49" s="17"/>
      <c r="M49" s="97"/>
      <c r="N49" s="57"/>
      <c r="O49" s="57"/>
      <c r="P49" s="57"/>
    </row>
    <row r="50" spans="1:16" ht="25.5">
      <c r="A50" s="19" t="s">
        <v>207</v>
      </c>
      <c r="B50" s="19" t="s">
        <v>149</v>
      </c>
      <c r="C50" s="20">
        <v>2273</v>
      </c>
      <c r="D50" s="13">
        <v>2381</v>
      </c>
      <c r="E50" s="112"/>
      <c r="F50" s="31"/>
      <c r="G50" s="31"/>
      <c r="H50" s="31"/>
      <c r="I50" s="17"/>
      <c r="J50" s="31"/>
      <c r="K50" s="31"/>
      <c r="L50" s="17"/>
      <c r="M50" s="97"/>
      <c r="N50" s="57"/>
      <c r="O50" s="57"/>
      <c r="P50" s="57"/>
    </row>
    <row r="51" spans="1:16" ht="25.5">
      <c r="A51" s="19" t="s">
        <v>195</v>
      </c>
      <c r="B51" s="19" t="s">
        <v>149</v>
      </c>
      <c r="C51" s="20">
        <v>3525</v>
      </c>
      <c r="D51" s="13">
        <v>1692</v>
      </c>
      <c r="E51" s="112"/>
      <c r="F51" s="31"/>
      <c r="G51" s="31"/>
      <c r="H51" s="31"/>
      <c r="I51" s="17"/>
      <c r="J51" s="31"/>
      <c r="K51" s="31"/>
      <c r="L51" s="17"/>
      <c r="M51" s="97"/>
      <c r="N51" s="56"/>
      <c r="O51" s="56"/>
      <c r="P51" s="56"/>
    </row>
    <row r="52" spans="1:16" ht="25.5">
      <c r="A52" s="19" t="s">
        <v>197</v>
      </c>
      <c r="B52" s="19" t="s">
        <v>149</v>
      </c>
      <c r="C52" s="20">
        <v>1476</v>
      </c>
      <c r="D52" s="13">
        <v>1482</v>
      </c>
      <c r="E52" s="112"/>
      <c r="F52" s="31"/>
      <c r="G52" s="31"/>
      <c r="H52" s="31"/>
      <c r="I52" s="17"/>
      <c r="J52" s="31"/>
      <c r="K52" s="31"/>
      <c r="L52" s="17"/>
      <c r="M52" s="97"/>
      <c r="N52" s="57"/>
      <c r="O52" s="57"/>
      <c r="P52" s="57"/>
    </row>
    <row r="53" spans="1:16" ht="25.5">
      <c r="A53" s="19" t="s">
        <v>155</v>
      </c>
      <c r="B53" s="19" t="s">
        <v>149</v>
      </c>
      <c r="C53" s="20">
        <v>1602</v>
      </c>
      <c r="D53" s="13">
        <v>1213</v>
      </c>
      <c r="E53" s="112"/>
      <c r="F53" s="31"/>
      <c r="G53" s="31"/>
      <c r="H53" s="31"/>
      <c r="I53" s="17"/>
      <c r="J53" s="31"/>
      <c r="K53" s="31"/>
      <c r="L53" s="17"/>
      <c r="M53" s="97"/>
      <c r="N53" s="57"/>
      <c r="O53" s="57"/>
      <c r="P53" s="57"/>
    </row>
    <row r="54" spans="1:16" ht="25.5">
      <c r="A54" s="19" t="s">
        <v>214</v>
      </c>
      <c r="B54" s="19" t="s">
        <v>149</v>
      </c>
      <c r="C54" s="20">
        <v>897</v>
      </c>
      <c r="D54" s="13">
        <v>863</v>
      </c>
      <c r="E54" s="112"/>
      <c r="F54" s="31"/>
      <c r="G54" s="31"/>
      <c r="H54" s="31"/>
      <c r="I54" s="17"/>
      <c r="J54" s="31"/>
      <c r="K54" s="31"/>
      <c r="L54" s="17"/>
      <c r="M54" s="97"/>
      <c r="N54" s="57"/>
      <c r="O54" s="57"/>
      <c r="P54" s="57"/>
    </row>
    <row r="55" spans="1:16" ht="25.5">
      <c r="A55" s="19" t="s">
        <v>185</v>
      </c>
      <c r="B55" s="19" t="s">
        <v>149</v>
      </c>
      <c r="C55" s="20">
        <v>560</v>
      </c>
      <c r="D55" s="13">
        <v>681</v>
      </c>
      <c r="E55" s="112"/>
      <c r="F55" s="31"/>
      <c r="G55" s="31"/>
      <c r="H55" s="31"/>
      <c r="I55" s="17"/>
      <c r="J55" s="31"/>
      <c r="K55" s="31"/>
      <c r="L55" s="17"/>
      <c r="M55" s="97"/>
      <c r="N55" s="57"/>
      <c r="O55" s="57"/>
      <c r="P55" s="57"/>
    </row>
    <row r="56" spans="1:16" ht="25.5">
      <c r="A56" s="19" t="s">
        <v>159</v>
      </c>
      <c r="B56" s="19" t="s">
        <v>149</v>
      </c>
      <c r="C56" s="20">
        <v>395</v>
      </c>
      <c r="D56" s="13">
        <v>645</v>
      </c>
      <c r="E56" s="112"/>
      <c r="F56" s="31"/>
      <c r="G56" s="31"/>
      <c r="H56" s="31"/>
      <c r="I56" s="17"/>
      <c r="J56" s="31"/>
      <c r="K56" s="31"/>
      <c r="L56" s="17"/>
      <c r="M56" s="97"/>
      <c r="N56" s="57"/>
      <c r="O56" s="57"/>
      <c r="P56" s="57"/>
    </row>
    <row r="57" spans="1:16" ht="25.5">
      <c r="A57" s="19" t="s">
        <v>162</v>
      </c>
      <c r="B57" s="19" t="s">
        <v>149</v>
      </c>
      <c r="C57" s="20">
        <v>988</v>
      </c>
      <c r="D57" s="13">
        <v>260</v>
      </c>
      <c r="E57" s="112"/>
      <c r="F57" s="31"/>
      <c r="G57" s="31"/>
      <c r="H57" s="31"/>
      <c r="I57" s="17"/>
      <c r="J57" s="31"/>
      <c r="K57" s="31"/>
      <c r="L57" s="17"/>
      <c r="M57" s="97"/>
      <c r="N57" s="57"/>
      <c r="O57" s="57"/>
      <c r="P57" s="57"/>
    </row>
    <row r="58" spans="1:16" ht="25.5">
      <c r="A58" s="19" t="s">
        <v>55</v>
      </c>
      <c r="B58" s="19" t="s">
        <v>149</v>
      </c>
      <c r="C58" s="20">
        <v>132</v>
      </c>
      <c r="D58" s="13">
        <v>145</v>
      </c>
      <c r="E58" s="112"/>
      <c r="F58" s="31"/>
      <c r="G58" s="31"/>
      <c r="H58" s="31"/>
      <c r="I58" s="17"/>
      <c r="J58" s="31"/>
      <c r="K58" s="31"/>
      <c r="L58" s="17"/>
      <c r="M58" s="97"/>
      <c r="N58" s="57"/>
      <c r="O58" s="57"/>
      <c r="P58" s="57"/>
    </row>
    <row r="59" spans="1:16" ht="25.5">
      <c r="A59" s="19" t="s">
        <v>49</v>
      </c>
      <c r="B59" s="19" t="s">
        <v>149</v>
      </c>
      <c r="C59" s="20">
        <v>28</v>
      </c>
      <c r="D59" s="13">
        <v>30</v>
      </c>
      <c r="E59" s="112"/>
      <c r="F59" s="31"/>
      <c r="G59" s="31"/>
      <c r="H59" s="31"/>
      <c r="I59" s="17"/>
      <c r="J59" s="31"/>
      <c r="K59" s="31"/>
      <c r="L59" s="17"/>
      <c r="M59" s="97"/>
      <c r="N59" s="57"/>
      <c r="O59" s="57"/>
      <c r="P59" s="57"/>
    </row>
    <row r="60" spans="1:16" ht="25.5">
      <c r="A60" s="19" t="s">
        <v>191</v>
      </c>
      <c r="B60" s="19" t="s">
        <v>149</v>
      </c>
      <c r="C60" s="20">
        <v>1087</v>
      </c>
      <c r="D60" s="13">
        <v>0</v>
      </c>
      <c r="E60" s="112"/>
      <c r="F60" s="31"/>
      <c r="G60" s="31"/>
      <c r="H60" s="31"/>
      <c r="I60" s="17"/>
      <c r="J60" s="31"/>
      <c r="K60" s="31"/>
      <c r="L60" s="17"/>
      <c r="M60" s="97"/>
      <c r="N60" s="57"/>
      <c r="O60" s="57"/>
      <c r="P60" s="57"/>
    </row>
    <row r="61" spans="1:16" ht="25.5">
      <c r="A61" s="19" t="s">
        <v>156</v>
      </c>
      <c r="B61" s="19" t="s">
        <v>149</v>
      </c>
      <c r="C61" s="20">
        <v>0</v>
      </c>
      <c r="D61" s="13">
        <v>0</v>
      </c>
      <c r="E61" s="112"/>
      <c r="F61" s="31"/>
      <c r="G61" s="31"/>
      <c r="H61" s="31"/>
      <c r="I61" s="17"/>
      <c r="J61" s="31"/>
      <c r="K61" s="31"/>
      <c r="L61" s="17"/>
      <c r="M61" s="97"/>
      <c r="N61" s="57"/>
      <c r="O61" s="57"/>
      <c r="P61" s="57"/>
    </row>
    <row r="62" spans="1:16" ht="25.5">
      <c r="A62" s="19" t="s">
        <v>167</v>
      </c>
      <c r="B62" s="19" t="s">
        <v>149</v>
      </c>
      <c r="C62" s="20">
        <v>0</v>
      </c>
      <c r="D62" s="13">
        <v>0</v>
      </c>
      <c r="E62" s="112"/>
      <c r="F62" s="31"/>
      <c r="G62" s="31"/>
      <c r="H62" s="31"/>
      <c r="I62" s="17"/>
      <c r="J62" s="31"/>
      <c r="K62" s="31"/>
      <c r="L62" s="17"/>
      <c r="M62" s="97"/>
      <c r="N62" s="57"/>
      <c r="O62" s="57"/>
      <c r="P62" s="57"/>
    </row>
    <row r="63" spans="1:16" ht="25.5">
      <c r="A63" s="19" t="s">
        <v>172</v>
      </c>
      <c r="B63" s="19" t="s">
        <v>149</v>
      </c>
      <c r="C63" s="20">
        <v>0</v>
      </c>
      <c r="D63" s="13">
        <v>0</v>
      </c>
      <c r="E63" s="112"/>
      <c r="F63" s="31"/>
      <c r="G63" s="31"/>
      <c r="H63" s="31"/>
      <c r="I63" s="17"/>
      <c r="J63" s="31"/>
      <c r="K63" s="31"/>
      <c r="L63" s="17"/>
      <c r="M63" s="97"/>
      <c r="N63" s="57"/>
      <c r="O63" s="57"/>
      <c r="P63" s="57"/>
    </row>
    <row r="64" spans="1:16" ht="25.5">
      <c r="A64" s="19" t="s">
        <v>190</v>
      </c>
      <c r="B64" s="19" t="s">
        <v>149</v>
      </c>
      <c r="C64" s="20">
        <v>0</v>
      </c>
      <c r="D64" s="13">
        <v>0</v>
      </c>
      <c r="E64" s="112"/>
      <c r="F64" s="31"/>
      <c r="G64" s="31"/>
      <c r="H64" s="31"/>
      <c r="I64" s="17"/>
      <c r="J64" s="31"/>
      <c r="K64" s="31"/>
      <c r="L64" s="17"/>
      <c r="M64" s="97"/>
      <c r="N64" s="57"/>
      <c r="O64" s="57"/>
      <c r="P64" s="57"/>
    </row>
    <row r="65" spans="1:16" ht="25.5">
      <c r="A65" s="19" t="s">
        <v>192</v>
      </c>
      <c r="B65" s="19" t="s">
        <v>149</v>
      </c>
      <c r="C65" s="20">
        <v>0</v>
      </c>
      <c r="D65" s="13">
        <v>0</v>
      </c>
      <c r="E65" s="112"/>
      <c r="F65" s="31"/>
      <c r="G65" s="31"/>
      <c r="H65" s="31"/>
      <c r="I65" s="17"/>
      <c r="J65" s="31"/>
      <c r="K65" s="31"/>
      <c r="L65" s="17"/>
      <c r="M65" s="97"/>
      <c r="N65" s="57"/>
      <c r="O65" s="57"/>
      <c r="P65" s="57"/>
    </row>
    <row r="66" spans="1:16" ht="25.5">
      <c r="A66" s="19" t="s">
        <v>200</v>
      </c>
      <c r="B66" s="19" t="s">
        <v>149</v>
      </c>
      <c r="C66" s="20">
        <v>0</v>
      </c>
      <c r="D66" s="13">
        <v>0</v>
      </c>
      <c r="E66" s="112"/>
      <c r="F66" s="31"/>
      <c r="G66" s="31"/>
      <c r="H66" s="31"/>
      <c r="I66" s="17"/>
      <c r="J66" s="31"/>
      <c r="K66" s="31"/>
      <c r="L66" s="17"/>
      <c r="M66" s="97"/>
      <c r="N66" s="57"/>
      <c r="O66" s="57"/>
      <c r="P66" s="57"/>
    </row>
    <row r="67" spans="1:16" ht="25.5">
      <c r="A67" s="19" t="s">
        <v>205</v>
      </c>
      <c r="B67" s="19" t="s">
        <v>149</v>
      </c>
      <c r="C67" s="20">
        <v>0</v>
      </c>
      <c r="D67" s="13">
        <v>0</v>
      </c>
      <c r="E67" s="112"/>
      <c r="F67" s="31"/>
      <c r="G67" s="31"/>
      <c r="H67" s="31"/>
      <c r="I67" s="17"/>
      <c r="J67" s="31"/>
      <c r="K67" s="31"/>
      <c r="L67" s="17"/>
      <c r="M67" s="97"/>
      <c r="N67" s="57"/>
      <c r="O67" s="57"/>
      <c r="P67" s="57"/>
    </row>
    <row r="68" spans="1:16" ht="25.5">
      <c r="A68" s="19" t="s">
        <v>148</v>
      </c>
      <c r="B68" s="19" t="s">
        <v>149</v>
      </c>
      <c r="C68" s="20">
        <v>0</v>
      </c>
      <c r="D68" s="13">
        <v>0</v>
      </c>
      <c r="E68" s="112"/>
      <c r="F68" s="31"/>
      <c r="G68" s="31"/>
      <c r="H68" s="31"/>
      <c r="I68" s="17"/>
      <c r="J68" s="31"/>
      <c r="K68" s="31"/>
      <c r="L68" s="17"/>
      <c r="M68" s="97"/>
      <c r="N68" s="57"/>
      <c r="O68" s="57"/>
      <c r="P68" s="57"/>
    </row>
    <row r="69" spans="13:17" ht="12.75">
      <c r="M69" s="55"/>
      <c r="N69" s="52"/>
      <c r="O69" s="52"/>
      <c r="P69" s="52"/>
      <c r="Q69" s="55"/>
    </row>
    <row r="70" spans="13:17" ht="12.75">
      <c r="M70" s="55"/>
      <c r="N70" s="52"/>
      <c r="O70" s="52"/>
      <c r="P70" s="52"/>
      <c r="Q70" s="55"/>
    </row>
    <row r="71" spans="1:17" ht="15.75">
      <c r="A71" s="220" t="s">
        <v>35</v>
      </c>
      <c r="B71" s="224" t="s">
        <v>45</v>
      </c>
      <c r="C71" s="221"/>
      <c r="D71" s="221"/>
      <c r="E71" s="221"/>
      <c r="M71" s="55"/>
      <c r="N71" s="52"/>
      <c r="O71" s="52"/>
      <c r="P71" s="52"/>
      <c r="Q71" s="55"/>
    </row>
    <row r="72" spans="2:17" ht="12.75">
      <c r="B72" s="9" t="s">
        <v>240</v>
      </c>
      <c r="M72" s="55"/>
      <c r="N72" s="52"/>
      <c r="O72" s="52"/>
      <c r="P72" s="52"/>
      <c r="Q72" s="55"/>
    </row>
    <row r="73" spans="13:17" ht="12.75">
      <c r="M73" s="55"/>
      <c r="N73" s="52"/>
      <c r="O73" s="52"/>
      <c r="P73" s="52"/>
      <c r="Q73" s="55"/>
    </row>
    <row r="74" spans="13:17" ht="12.75">
      <c r="M74" s="55"/>
      <c r="N74" s="52"/>
      <c r="O74" s="52"/>
      <c r="P74" s="52"/>
      <c r="Q74" s="55"/>
    </row>
    <row r="75" spans="13:17" ht="12.75">
      <c r="M75" s="55"/>
      <c r="N75" s="52"/>
      <c r="O75" s="52"/>
      <c r="P75" s="52"/>
      <c r="Q75" s="55"/>
    </row>
    <row r="76" spans="13:17" ht="12.75">
      <c r="M76" s="55"/>
      <c r="N76" s="52"/>
      <c r="O76" s="52"/>
      <c r="P76" s="52"/>
      <c r="Q76" s="55"/>
    </row>
    <row r="77" spans="13:17" ht="12.75">
      <c r="M77" s="55"/>
      <c r="N77" s="52"/>
      <c r="O77" s="52"/>
      <c r="P77" s="52"/>
      <c r="Q77" s="55"/>
    </row>
    <row r="78" spans="13:17" ht="12.75">
      <c r="M78" s="55"/>
      <c r="N78" s="52"/>
      <c r="O78" s="52"/>
      <c r="P78" s="52"/>
      <c r="Q78" s="55"/>
    </row>
    <row r="79" spans="13:17" ht="12.75">
      <c r="M79" s="55"/>
      <c r="N79" s="52"/>
      <c r="O79" s="52"/>
      <c r="P79" s="52"/>
      <c r="Q79" s="55"/>
    </row>
    <row r="80" spans="13:17" ht="12.75">
      <c r="M80" s="55"/>
      <c r="N80" s="52"/>
      <c r="O80" s="52"/>
      <c r="P80" s="52"/>
      <c r="Q80" s="55"/>
    </row>
    <row r="81" spans="13:17" ht="12.75">
      <c r="M81" s="55"/>
      <c r="N81" s="52"/>
      <c r="O81" s="52"/>
      <c r="P81" s="52"/>
      <c r="Q81" s="55"/>
    </row>
  </sheetData>
  <mergeCells count="4">
    <mergeCell ref="J3:K3"/>
    <mergeCell ref="M2:P2"/>
    <mergeCell ref="A3:D3"/>
    <mergeCell ref="F3:H3"/>
  </mergeCells>
  <hyperlinks>
    <hyperlink ref="B71" r:id="rId1" display="http://faostat.fao.org/site/616/default.aspx#ancor"/>
  </hyperlinks>
  <printOptions/>
  <pageMargins left="0.787401575" right="0.787401575" top="1" bottom="1" header="0" footer="0"/>
  <pageSetup orientation="portrait" paperSize="9"/>
  <ignoredErrors>
    <ignoredError sqref="O6:P6" formula="1"/>
  </ignoredErrors>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workbookViewId="0" topLeftCell="A1"/>
  </sheetViews>
  <sheetFormatPr defaultColWidth="11.00390625" defaultRowHeight="12.75"/>
  <cols>
    <col min="1" max="1" width="23.00390625" style="0" customWidth="1"/>
    <col min="2" max="2" width="21.00390625" style="0" customWidth="1"/>
    <col min="3" max="3" width="9.625" style="0" customWidth="1"/>
    <col min="4" max="4" width="7.625" style="0" customWidth="1"/>
    <col min="5" max="5" width="6.75390625" style="0" customWidth="1"/>
    <col min="6" max="6" width="8.00390625" style="0" customWidth="1"/>
    <col min="7" max="7" width="7.125" style="0" customWidth="1"/>
    <col min="8" max="8" width="7.375" style="0" customWidth="1"/>
  </cols>
  <sheetData>
    <row r="1" spans="1:8" ht="12.75">
      <c r="A1" s="3" t="s">
        <v>145</v>
      </c>
      <c r="B1" s="3" t="s">
        <v>146</v>
      </c>
      <c r="C1" s="3" t="s">
        <v>147</v>
      </c>
      <c r="D1" s="3">
        <v>2003</v>
      </c>
      <c r="E1" s="3">
        <v>2004</v>
      </c>
      <c r="F1" s="3">
        <v>2005</v>
      </c>
      <c r="G1" s="3">
        <v>2006</v>
      </c>
      <c r="H1" s="3">
        <v>2007</v>
      </c>
    </row>
    <row r="2" spans="1:8" ht="25.5">
      <c r="A2" s="2" t="s">
        <v>144</v>
      </c>
      <c r="B2" s="2" t="s">
        <v>57</v>
      </c>
      <c r="C2" s="2" t="s">
        <v>149</v>
      </c>
      <c r="D2" s="2">
        <v>414619</v>
      </c>
      <c r="E2" s="2">
        <v>384984</v>
      </c>
      <c r="F2" s="2">
        <v>431297</v>
      </c>
      <c r="G2" s="2">
        <v>259800</v>
      </c>
      <c r="H2" s="2">
        <v>295137</v>
      </c>
    </row>
    <row r="3" spans="1:8" ht="25.5">
      <c r="A3" s="2" t="s">
        <v>144</v>
      </c>
      <c r="B3" s="2" t="s">
        <v>53</v>
      </c>
      <c r="C3" s="2" t="s">
        <v>149</v>
      </c>
      <c r="D3" s="2">
        <v>288047</v>
      </c>
      <c r="E3" s="2">
        <v>245787</v>
      </c>
      <c r="F3" s="2">
        <v>280311</v>
      </c>
      <c r="G3" s="2">
        <v>132935</v>
      </c>
      <c r="H3" s="2">
        <v>157889</v>
      </c>
    </row>
    <row r="4" spans="1:8" ht="25.5">
      <c r="A4" s="2" t="s">
        <v>144</v>
      </c>
      <c r="B4" s="2" t="s">
        <v>72</v>
      </c>
      <c r="C4" s="2" t="s">
        <v>149</v>
      </c>
      <c r="D4" s="2">
        <v>111079</v>
      </c>
      <c r="E4" s="2">
        <v>116801</v>
      </c>
      <c r="F4" s="2">
        <v>110203</v>
      </c>
      <c r="G4" s="2">
        <v>116951</v>
      </c>
      <c r="H4" s="2">
        <v>120808</v>
      </c>
    </row>
    <row r="5" spans="1:8" ht="25.5">
      <c r="A5" s="2" t="s">
        <v>144</v>
      </c>
      <c r="B5" s="2" t="s">
        <v>52</v>
      </c>
      <c r="C5" s="2" t="s">
        <v>149</v>
      </c>
      <c r="D5" s="2">
        <v>88901</v>
      </c>
      <c r="E5" s="2">
        <v>94937</v>
      </c>
      <c r="F5" s="2">
        <v>87768</v>
      </c>
      <c r="G5" s="2">
        <v>95884</v>
      </c>
      <c r="H5" s="2">
        <v>96668</v>
      </c>
    </row>
    <row r="6" spans="1:8" ht="25.5">
      <c r="A6" s="2" t="s">
        <v>144</v>
      </c>
      <c r="B6" s="2" t="s">
        <v>152</v>
      </c>
      <c r="C6" s="2" t="s">
        <v>149</v>
      </c>
      <c r="D6" s="2">
        <v>42970</v>
      </c>
      <c r="E6" s="2">
        <v>77813</v>
      </c>
      <c r="F6" s="2">
        <v>77988</v>
      </c>
      <c r="G6" s="2">
        <v>77545</v>
      </c>
      <c r="H6" s="2">
        <v>91901</v>
      </c>
    </row>
    <row r="7" spans="1:8" ht="25.5">
      <c r="A7" s="2" t="s">
        <v>144</v>
      </c>
      <c r="B7" s="2" t="s">
        <v>58</v>
      </c>
      <c r="C7" s="2" t="s">
        <v>149</v>
      </c>
      <c r="D7" s="2">
        <v>79038</v>
      </c>
      <c r="E7" s="2">
        <v>77572</v>
      </c>
      <c r="F7" s="2">
        <v>82139</v>
      </c>
      <c r="G7" s="2">
        <v>69875</v>
      </c>
      <c r="H7" s="2">
        <v>71034</v>
      </c>
    </row>
    <row r="8" spans="1:8" ht="25.5">
      <c r="A8" s="2" t="s">
        <v>144</v>
      </c>
      <c r="B8" s="2" t="s">
        <v>62</v>
      </c>
      <c r="C8" s="2" t="s">
        <v>149</v>
      </c>
      <c r="D8" s="2">
        <v>35255</v>
      </c>
      <c r="E8" s="2">
        <v>36511</v>
      </c>
      <c r="F8" s="2">
        <v>36073</v>
      </c>
      <c r="G8" s="2">
        <v>35267</v>
      </c>
      <c r="H8" s="2">
        <v>34073</v>
      </c>
    </row>
    <row r="9" spans="1:8" ht="25.5">
      <c r="A9" s="2" t="s">
        <v>144</v>
      </c>
      <c r="B9" s="2" t="s">
        <v>198</v>
      </c>
      <c r="C9" s="2" t="s">
        <v>149</v>
      </c>
      <c r="D9" s="2">
        <v>34953</v>
      </c>
      <c r="E9" s="2">
        <v>36209</v>
      </c>
      <c r="F9" s="2">
        <v>35766</v>
      </c>
      <c r="G9" s="2">
        <v>35014</v>
      </c>
      <c r="H9" s="2">
        <v>33841</v>
      </c>
    </row>
    <row r="10" spans="1:8" ht="25.5">
      <c r="A10" s="2" t="s">
        <v>144</v>
      </c>
      <c r="B10" s="2" t="s">
        <v>215</v>
      </c>
      <c r="C10" s="2" t="s">
        <v>149</v>
      </c>
      <c r="D10" s="2">
        <v>45418</v>
      </c>
      <c r="E10" s="2">
        <v>41292</v>
      </c>
      <c r="F10" s="2">
        <v>28113</v>
      </c>
      <c r="G10" s="2">
        <v>29472</v>
      </c>
      <c r="H10" s="2">
        <v>31533</v>
      </c>
    </row>
    <row r="11" spans="1:8" ht="25.5">
      <c r="A11" s="2" t="s">
        <v>144</v>
      </c>
      <c r="B11" s="2" t="s">
        <v>221</v>
      </c>
      <c r="C11" s="2" t="s">
        <v>149</v>
      </c>
      <c r="D11" s="2">
        <v>45418</v>
      </c>
      <c r="E11" s="2">
        <v>41292</v>
      </c>
      <c r="F11" s="2">
        <v>28113</v>
      </c>
      <c r="G11" s="2">
        <v>29472</v>
      </c>
      <c r="H11" s="2">
        <v>31533</v>
      </c>
    </row>
    <row r="12" spans="1:8" ht="25.5">
      <c r="A12" s="2" t="s">
        <v>144</v>
      </c>
      <c r="B12" s="2" t="s">
        <v>68</v>
      </c>
      <c r="C12" s="2" t="s">
        <v>149</v>
      </c>
      <c r="D12" s="2">
        <v>45418</v>
      </c>
      <c r="E12" s="2">
        <v>41292</v>
      </c>
      <c r="F12" s="2">
        <v>28113</v>
      </c>
      <c r="G12" s="2">
        <v>29472</v>
      </c>
      <c r="H12" s="2">
        <v>31533</v>
      </c>
    </row>
    <row r="13" spans="1:8" ht="25.5">
      <c r="A13" s="2" t="s">
        <v>144</v>
      </c>
      <c r="B13" s="2" t="s">
        <v>222</v>
      </c>
      <c r="C13" s="2" t="s">
        <v>149</v>
      </c>
      <c r="D13" s="2">
        <v>41784</v>
      </c>
      <c r="E13" s="2">
        <v>37989</v>
      </c>
      <c r="F13" s="2">
        <v>25864</v>
      </c>
      <c r="G13" s="2">
        <v>27114</v>
      </c>
      <c r="H13" s="2">
        <v>29010</v>
      </c>
    </row>
    <row r="14" spans="1:8" ht="25.5">
      <c r="A14" s="2" t="s">
        <v>144</v>
      </c>
      <c r="B14" s="2" t="s">
        <v>184</v>
      </c>
      <c r="C14" s="2" t="s">
        <v>149</v>
      </c>
      <c r="D14" s="2">
        <v>61542</v>
      </c>
      <c r="E14" s="2">
        <v>39477</v>
      </c>
      <c r="F14" s="2">
        <v>51640</v>
      </c>
      <c r="G14" s="2">
        <v>23440</v>
      </c>
      <c r="H14" s="2">
        <v>26292</v>
      </c>
    </row>
    <row r="15" spans="1:8" ht="25.5">
      <c r="A15" s="2" t="s">
        <v>144</v>
      </c>
      <c r="B15" s="2" t="s">
        <v>60</v>
      </c>
      <c r="C15" s="2" t="s">
        <v>149</v>
      </c>
      <c r="D15" s="2">
        <v>47483</v>
      </c>
      <c r="E15" s="2">
        <v>36942</v>
      </c>
      <c r="F15" s="2">
        <v>51613</v>
      </c>
      <c r="G15" s="2">
        <v>31067</v>
      </c>
      <c r="H15" s="2">
        <v>25380</v>
      </c>
    </row>
    <row r="16" spans="1:8" ht="25.5">
      <c r="A16" s="2" t="s">
        <v>144</v>
      </c>
      <c r="B16" s="2" t="s">
        <v>150</v>
      </c>
      <c r="C16" s="2" t="s">
        <v>149</v>
      </c>
      <c r="D16" s="2">
        <v>31641</v>
      </c>
      <c r="E16" s="2">
        <v>32497</v>
      </c>
      <c r="F16" s="2">
        <v>32796</v>
      </c>
      <c r="G16" s="2">
        <v>23318</v>
      </c>
      <c r="H16" s="2">
        <v>23231</v>
      </c>
    </row>
    <row r="17" spans="1:8" ht="25.5">
      <c r="A17" s="2" t="s">
        <v>144</v>
      </c>
      <c r="B17" s="2" t="s">
        <v>169</v>
      </c>
      <c r="C17" s="2" t="s">
        <v>149</v>
      </c>
      <c r="D17" s="2">
        <v>20679</v>
      </c>
      <c r="E17" s="2">
        <v>19678</v>
      </c>
      <c r="F17" s="2">
        <v>21197</v>
      </c>
      <c r="G17" s="2">
        <v>20268</v>
      </c>
      <c r="H17" s="2">
        <v>21010</v>
      </c>
    </row>
    <row r="18" spans="1:8" ht="25.5">
      <c r="A18" s="2" t="s">
        <v>144</v>
      </c>
      <c r="B18" s="2" t="s">
        <v>179</v>
      </c>
      <c r="C18" s="2" t="s">
        <v>149</v>
      </c>
      <c r="D18" s="2">
        <v>19137</v>
      </c>
      <c r="E18" s="2">
        <v>18217</v>
      </c>
      <c r="F18" s="2">
        <v>19098</v>
      </c>
      <c r="G18" s="2">
        <v>19390</v>
      </c>
      <c r="H18" s="2">
        <v>17968</v>
      </c>
    </row>
    <row r="19" spans="1:8" ht="25.5">
      <c r="A19" s="2" t="s">
        <v>144</v>
      </c>
      <c r="B19" s="2" t="s">
        <v>199</v>
      </c>
      <c r="C19" s="2" t="s">
        <v>149</v>
      </c>
      <c r="D19" s="2">
        <v>34152</v>
      </c>
      <c r="E19" s="2">
        <v>27029</v>
      </c>
      <c r="F19" s="2">
        <v>36624</v>
      </c>
      <c r="G19" s="2">
        <v>20581</v>
      </c>
      <c r="H19" s="2">
        <v>17945</v>
      </c>
    </row>
    <row r="20" spans="1:8" ht="25.5">
      <c r="A20" s="2" t="s">
        <v>144</v>
      </c>
      <c r="B20" s="2" t="s">
        <v>188</v>
      </c>
      <c r="C20" s="2" t="s">
        <v>149</v>
      </c>
      <c r="D20" s="2">
        <v>11850</v>
      </c>
      <c r="E20" s="2">
        <v>11947</v>
      </c>
      <c r="F20" s="2">
        <v>13053</v>
      </c>
      <c r="G20" s="2">
        <v>11493</v>
      </c>
      <c r="H20" s="2">
        <v>12839</v>
      </c>
    </row>
    <row r="21" spans="1:8" ht="25.5">
      <c r="A21" s="2" t="s">
        <v>144</v>
      </c>
      <c r="B21" s="2" t="s">
        <v>151</v>
      </c>
      <c r="C21" s="2" t="s">
        <v>149</v>
      </c>
      <c r="D21" s="2">
        <v>11981</v>
      </c>
      <c r="E21" s="2">
        <v>11750</v>
      </c>
      <c r="F21" s="2">
        <v>13060</v>
      </c>
      <c r="G21" s="2">
        <v>11843</v>
      </c>
      <c r="H21" s="2">
        <v>12320</v>
      </c>
    </row>
    <row r="22" spans="1:8" ht="25.5">
      <c r="A22" s="2" t="s">
        <v>144</v>
      </c>
      <c r="B22" s="2" t="s">
        <v>51</v>
      </c>
      <c r="C22" s="2" t="s">
        <v>149</v>
      </c>
      <c r="D22" s="2">
        <v>10328</v>
      </c>
      <c r="E22" s="2">
        <v>9917</v>
      </c>
      <c r="F22" s="2">
        <v>9382</v>
      </c>
      <c r="G22" s="2">
        <v>9574</v>
      </c>
      <c r="H22" s="2">
        <v>11301</v>
      </c>
    </row>
    <row r="23" spans="1:8" ht="25.5">
      <c r="A23" s="2" t="s">
        <v>144</v>
      </c>
      <c r="B23" s="2" t="s">
        <v>189</v>
      </c>
      <c r="C23" s="2" t="s">
        <v>149</v>
      </c>
      <c r="D23" s="2">
        <v>9536</v>
      </c>
      <c r="E23" s="2">
        <v>7568</v>
      </c>
      <c r="F23" s="2">
        <v>8598</v>
      </c>
      <c r="G23" s="2">
        <v>8826</v>
      </c>
      <c r="H23" s="2">
        <v>8512</v>
      </c>
    </row>
    <row r="24" spans="1:8" ht="25.5">
      <c r="A24" s="2" t="s">
        <v>144</v>
      </c>
      <c r="B24" s="2" t="s">
        <v>204</v>
      </c>
      <c r="C24" s="2" t="s">
        <v>149</v>
      </c>
      <c r="D24" s="2">
        <v>7069</v>
      </c>
      <c r="E24" s="2">
        <v>7320</v>
      </c>
      <c r="F24" s="2">
        <v>7233</v>
      </c>
      <c r="G24" s="2">
        <v>7069</v>
      </c>
      <c r="H24" s="2">
        <v>6829</v>
      </c>
    </row>
    <row r="25" spans="1:8" ht="25.5">
      <c r="A25" s="2" t="s">
        <v>144</v>
      </c>
      <c r="B25" s="2" t="s">
        <v>193</v>
      </c>
      <c r="C25" s="2" t="s">
        <v>149</v>
      </c>
      <c r="D25" s="2">
        <v>11972</v>
      </c>
      <c r="E25" s="2">
        <v>8088</v>
      </c>
      <c r="F25" s="2">
        <v>13667</v>
      </c>
      <c r="G25" s="2">
        <v>9436</v>
      </c>
      <c r="H25" s="2">
        <v>6523</v>
      </c>
    </row>
    <row r="26" spans="1:8" ht="25.5">
      <c r="A26" s="2" t="s">
        <v>144</v>
      </c>
      <c r="B26" s="2" t="s">
        <v>171</v>
      </c>
      <c r="C26" s="2" t="s">
        <v>149</v>
      </c>
      <c r="D26" s="2">
        <v>3481</v>
      </c>
      <c r="E26" s="2">
        <v>4457</v>
      </c>
      <c r="F26" s="2">
        <v>4739</v>
      </c>
      <c r="G26" s="2">
        <v>3834</v>
      </c>
      <c r="H26" s="2">
        <v>4101</v>
      </c>
    </row>
    <row r="27" spans="1:8" ht="25.5">
      <c r="A27" s="2" t="s">
        <v>144</v>
      </c>
      <c r="B27" s="2" t="s">
        <v>59</v>
      </c>
      <c r="C27" s="2" t="s">
        <v>149</v>
      </c>
      <c r="D27" s="2">
        <v>4909</v>
      </c>
      <c r="E27" s="2">
        <v>3943</v>
      </c>
      <c r="F27" s="2">
        <v>3343</v>
      </c>
      <c r="G27" s="2">
        <v>3129</v>
      </c>
      <c r="H27" s="2">
        <v>2357</v>
      </c>
    </row>
    <row r="28" spans="1:8" ht="25.5">
      <c r="A28" s="2" t="s">
        <v>144</v>
      </c>
      <c r="B28" s="2" t="s">
        <v>213</v>
      </c>
      <c r="C28" s="2" t="s">
        <v>149</v>
      </c>
      <c r="D28" s="2">
        <v>3339</v>
      </c>
      <c r="E28" s="2">
        <v>2769</v>
      </c>
      <c r="F28" s="2">
        <v>2185</v>
      </c>
      <c r="G28" s="2">
        <v>2230</v>
      </c>
      <c r="H28" s="2">
        <v>1699</v>
      </c>
    </row>
    <row r="29" spans="1:8" ht="25.5">
      <c r="A29" s="2" t="s">
        <v>144</v>
      </c>
      <c r="B29" s="2" t="s">
        <v>203</v>
      </c>
      <c r="C29" s="2" t="s">
        <v>149</v>
      </c>
      <c r="D29" s="2">
        <v>4381</v>
      </c>
      <c r="E29" s="2">
        <v>5531</v>
      </c>
      <c r="F29" s="2">
        <v>3389</v>
      </c>
      <c r="G29" s="2">
        <v>9730</v>
      </c>
      <c r="H29" s="2">
        <v>1630</v>
      </c>
    </row>
    <row r="30" spans="1:8" ht="25.5">
      <c r="A30" s="2" t="s">
        <v>144</v>
      </c>
      <c r="B30" s="2" t="s">
        <v>50</v>
      </c>
      <c r="C30" s="2" t="s">
        <v>149</v>
      </c>
      <c r="D30" s="2">
        <v>1505</v>
      </c>
      <c r="E30" s="2">
        <v>837</v>
      </c>
      <c r="F30" s="2">
        <v>844</v>
      </c>
      <c r="G30" s="2">
        <v>1226</v>
      </c>
      <c r="H30" s="2">
        <v>1279</v>
      </c>
    </row>
    <row r="31" spans="1:8" ht="25.5">
      <c r="A31" s="2" t="s">
        <v>144</v>
      </c>
      <c r="B31" s="2" t="s">
        <v>202</v>
      </c>
      <c r="C31" s="2" t="s">
        <v>149</v>
      </c>
      <c r="D31" s="2">
        <v>2922</v>
      </c>
      <c r="E31" s="2">
        <v>3689</v>
      </c>
      <c r="F31" s="2">
        <v>2260</v>
      </c>
      <c r="G31" s="2">
        <v>6490</v>
      </c>
      <c r="H31" s="2">
        <v>1087</v>
      </c>
    </row>
    <row r="32" spans="1:8" ht="25.5">
      <c r="A32" s="2" t="s">
        <v>144</v>
      </c>
      <c r="B32" s="2" t="s">
        <v>153</v>
      </c>
      <c r="C32" s="2" t="s">
        <v>149</v>
      </c>
      <c r="D32" s="2">
        <v>1359</v>
      </c>
      <c r="E32" s="2">
        <v>1825</v>
      </c>
      <c r="F32" s="2">
        <v>1322</v>
      </c>
      <c r="G32" s="2">
        <v>1050</v>
      </c>
      <c r="H32" s="2">
        <v>912</v>
      </c>
    </row>
    <row r="33" spans="1:8" ht="25.5">
      <c r="A33" s="2" t="s">
        <v>144</v>
      </c>
      <c r="B33" s="2" t="s">
        <v>173</v>
      </c>
      <c r="C33" s="2" t="s">
        <v>149</v>
      </c>
      <c r="D33" s="2">
        <v>2191</v>
      </c>
      <c r="E33" s="2">
        <v>1624</v>
      </c>
      <c r="F33" s="2">
        <v>1600</v>
      </c>
      <c r="G33" s="2">
        <v>1229</v>
      </c>
      <c r="H33" s="2">
        <v>883</v>
      </c>
    </row>
    <row r="34" spans="1:8" ht="25.5">
      <c r="A34" s="2" t="s">
        <v>144</v>
      </c>
      <c r="B34" s="2" t="s">
        <v>178</v>
      </c>
      <c r="C34" s="2" t="s">
        <v>149</v>
      </c>
      <c r="D34" s="2">
        <v>656</v>
      </c>
      <c r="E34" s="2">
        <v>595</v>
      </c>
      <c r="F34" s="2">
        <v>634</v>
      </c>
      <c r="G34" s="2">
        <v>652</v>
      </c>
      <c r="H34" s="2">
        <v>703</v>
      </c>
    </row>
    <row r="35" spans="1:8" ht="25.5">
      <c r="A35" s="2" t="s">
        <v>144</v>
      </c>
      <c r="B35" s="2" t="s">
        <v>174</v>
      </c>
      <c r="C35" s="2" t="s">
        <v>149</v>
      </c>
      <c r="D35" s="2">
        <v>1534</v>
      </c>
      <c r="E35" s="2">
        <v>1137</v>
      </c>
      <c r="F35" s="2">
        <v>1120</v>
      </c>
      <c r="G35" s="2">
        <v>860</v>
      </c>
      <c r="H35" s="2">
        <v>618</v>
      </c>
    </row>
    <row r="36" spans="1:8" ht="25.5">
      <c r="A36" s="2" t="s">
        <v>144</v>
      </c>
      <c r="B36" s="2" t="s">
        <v>159</v>
      </c>
      <c r="C36" s="2" t="s">
        <v>149</v>
      </c>
      <c r="D36" s="2">
        <v>448</v>
      </c>
      <c r="E36" s="2">
        <v>451</v>
      </c>
      <c r="F36" s="2">
        <v>458</v>
      </c>
      <c r="G36" s="2">
        <v>455</v>
      </c>
      <c r="H36" s="2">
        <v>462</v>
      </c>
    </row>
    <row r="37" spans="1:8" ht="25.5">
      <c r="A37" s="2" t="s">
        <v>144</v>
      </c>
      <c r="B37" s="2" t="s">
        <v>196</v>
      </c>
      <c r="C37" s="2" t="s">
        <v>149</v>
      </c>
      <c r="D37" s="2">
        <v>219</v>
      </c>
      <c r="E37" s="2">
        <v>186</v>
      </c>
      <c r="F37" s="2">
        <v>290</v>
      </c>
      <c r="G37" s="2">
        <v>369</v>
      </c>
      <c r="H37" s="2">
        <v>418</v>
      </c>
    </row>
    <row r="38" spans="1:8" ht="25.5">
      <c r="A38" s="2" t="s">
        <v>144</v>
      </c>
      <c r="B38" s="2" t="s">
        <v>170</v>
      </c>
      <c r="C38" s="2" t="s">
        <v>149</v>
      </c>
      <c r="D38" s="2">
        <v>387</v>
      </c>
      <c r="E38" s="2">
        <v>378</v>
      </c>
      <c r="F38" s="2">
        <v>355</v>
      </c>
      <c r="G38" s="2">
        <v>298</v>
      </c>
      <c r="H38" s="2">
        <v>262</v>
      </c>
    </row>
    <row r="39" spans="1:8" ht="25.5">
      <c r="A39" s="2" t="s">
        <v>144</v>
      </c>
      <c r="B39" s="2" t="s">
        <v>47</v>
      </c>
      <c r="C39" s="2" t="s">
        <v>149</v>
      </c>
      <c r="D39" s="2">
        <v>302</v>
      </c>
      <c r="E39" s="2">
        <v>302</v>
      </c>
      <c r="F39" s="2">
        <v>307</v>
      </c>
      <c r="G39" s="2">
        <v>253</v>
      </c>
      <c r="H39" s="2">
        <v>232</v>
      </c>
    </row>
    <row r="40" spans="1:8" ht="25.5">
      <c r="A40" s="2" t="s">
        <v>144</v>
      </c>
      <c r="B40" s="2" t="s">
        <v>183</v>
      </c>
      <c r="C40" s="2" t="s">
        <v>149</v>
      </c>
      <c r="D40" s="2">
        <v>108</v>
      </c>
      <c r="E40" s="2">
        <v>106</v>
      </c>
      <c r="F40" s="2">
        <v>132</v>
      </c>
      <c r="G40" s="2">
        <v>162</v>
      </c>
      <c r="H40" s="2">
        <v>194</v>
      </c>
    </row>
    <row r="41" spans="1:8" ht="25.5">
      <c r="A41" s="2" t="s">
        <v>144</v>
      </c>
      <c r="B41" s="2" t="s">
        <v>70</v>
      </c>
      <c r="C41" s="2" t="s">
        <v>149</v>
      </c>
      <c r="D41" s="2">
        <v>108</v>
      </c>
      <c r="E41" s="2">
        <v>106</v>
      </c>
      <c r="F41" s="2">
        <v>132</v>
      </c>
      <c r="G41" s="2">
        <v>162</v>
      </c>
      <c r="H41" s="2">
        <v>194</v>
      </c>
    </row>
    <row r="42" spans="1:8" ht="25.5">
      <c r="A42" s="2" t="s">
        <v>144</v>
      </c>
      <c r="B42" s="2" t="s">
        <v>186</v>
      </c>
      <c r="C42" s="2" t="s">
        <v>149</v>
      </c>
      <c r="D42" s="2">
        <v>36</v>
      </c>
      <c r="E42" s="2">
        <v>37</v>
      </c>
      <c r="F42" s="2">
        <v>38</v>
      </c>
      <c r="G42" s="2">
        <v>39</v>
      </c>
      <c r="H42" s="2">
        <v>40</v>
      </c>
    </row>
    <row r="43" spans="1:8" ht="25.5">
      <c r="A43" s="2" t="s">
        <v>144</v>
      </c>
      <c r="B43" s="2" t="s">
        <v>168</v>
      </c>
      <c r="C43" s="2" t="s">
        <v>149</v>
      </c>
      <c r="D43" s="2">
        <v>10</v>
      </c>
      <c r="E43" s="2">
        <v>11</v>
      </c>
      <c r="F43" s="2">
        <v>12</v>
      </c>
      <c r="G43" s="2">
        <v>13</v>
      </c>
      <c r="H43" s="2">
        <v>15</v>
      </c>
    </row>
  </sheetData>
  <printOptions/>
  <pageMargins left="0.787401575" right="0.787401575" top="1" bottom="1" header="0" footer="0"/>
  <pageSetup orientation="portrait" paperSize="9"/>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96"/>
  <sheetViews>
    <sheetView zoomScale="90" zoomScaleNormal="90" zoomScalePageLayoutView="90" workbookViewId="0" topLeftCell="A1">
      <selection activeCell="J13" sqref="J13"/>
    </sheetView>
  </sheetViews>
  <sheetFormatPr defaultColWidth="9.00390625" defaultRowHeight="12.75"/>
  <cols>
    <col min="1" max="1" width="11.625" style="9" bestFit="1" customWidth="1"/>
    <col min="2" max="2" width="9.00390625" style="9" customWidth="1"/>
    <col min="3" max="3" width="11.00390625" style="9" customWidth="1"/>
    <col min="4" max="4" width="9.875" style="9" bestFit="1" customWidth="1"/>
    <col min="5" max="5" width="3.375" style="9" customWidth="1"/>
    <col min="6" max="6" width="14.125" style="9" bestFit="1" customWidth="1"/>
    <col min="7" max="7" width="13.00390625" style="9" customWidth="1"/>
    <col min="8" max="8" width="10.875" style="9" customWidth="1"/>
    <col min="9" max="9" width="4.125" style="9" customWidth="1"/>
    <col min="10" max="10" width="17.75390625" style="9" customWidth="1"/>
    <col min="11" max="11" width="15.125" style="9" customWidth="1"/>
    <col min="12" max="12" width="19.50390625" style="9" customWidth="1"/>
    <col min="13" max="16384" width="9.00390625" style="9" customWidth="1"/>
  </cols>
  <sheetData>
    <row r="1" spans="1:12" ht="15" customHeight="1">
      <c r="A1" s="273" t="s">
        <v>42</v>
      </c>
      <c r="B1" s="274"/>
      <c r="C1" s="274"/>
      <c r="D1" s="274"/>
      <c r="E1" s="274"/>
      <c r="F1" s="274"/>
      <c r="G1" s="274"/>
      <c r="H1" s="274"/>
      <c r="I1" s="274"/>
      <c r="J1" s="274"/>
      <c r="K1" s="274"/>
      <c r="L1" s="280"/>
    </row>
    <row r="2" spans="1:12" ht="7.5" customHeight="1">
      <c r="A2" s="275"/>
      <c r="B2" s="276"/>
      <c r="C2" s="276"/>
      <c r="D2" s="276"/>
      <c r="E2" s="276"/>
      <c r="F2" s="276"/>
      <c r="G2" s="276"/>
      <c r="H2" s="276"/>
      <c r="I2" s="276"/>
      <c r="J2" s="276"/>
      <c r="K2" s="276"/>
      <c r="L2" s="281"/>
    </row>
    <row r="3" spans="1:12" ht="15" customHeight="1">
      <c r="A3" s="275" t="s">
        <v>43</v>
      </c>
      <c r="B3" s="276"/>
      <c r="C3" s="276"/>
      <c r="D3" s="276"/>
      <c r="E3" s="276"/>
      <c r="F3" s="276"/>
      <c r="G3" s="276"/>
      <c r="H3" s="276"/>
      <c r="I3" s="276"/>
      <c r="J3" s="276"/>
      <c r="K3" s="276"/>
      <c r="L3" s="281"/>
    </row>
    <row r="4" spans="1:12" ht="8.25" customHeight="1">
      <c r="A4" s="277"/>
      <c r="B4" s="278"/>
      <c r="C4" s="278"/>
      <c r="D4" s="278"/>
      <c r="E4" s="278"/>
      <c r="F4" s="278"/>
      <c r="G4" s="278"/>
      <c r="H4" s="278"/>
      <c r="I4" s="278"/>
      <c r="J4" s="278"/>
      <c r="K4" s="278"/>
      <c r="L4" s="282"/>
    </row>
    <row r="5" spans="1:12" ht="15.75">
      <c r="A5" s="181"/>
      <c r="B5" s="181"/>
      <c r="C5" s="181"/>
      <c r="D5" s="181"/>
      <c r="E5" s="181"/>
      <c r="F5" s="181"/>
      <c r="G5" s="181"/>
      <c r="H5" s="181"/>
      <c r="I5" s="181"/>
      <c r="J5" s="181"/>
      <c r="K5" s="181"/>
      <c r="L5" s="181"/>
    </row>
    <row r="6" spans="1:12" ht="15.75">
      <c r="A6" s="149"/>
      <c r="B6" s="182" t="s">
        <v>44</v>
      </c>
      <c r="C6" s="183" t="s">
        <v>11</v>
      </c>
      <c r="D6" s="149"/>
      <c r="J6" s="262" t="s">
        <v>84</v>
      </c>
      <c r="K6" s="263"/>
      <c r="L6" s="264"/>
    </row>
    <row r="7" spans="1:12" ht="15">
      <c r="A7" s="149"/>
      <c r="B7" s="149"/>
      <c r="C7" s="149"/>
      <c r="D7" s="149"/>
      <c r="F7" s="279" t="s">
        <v>76</v>
      </c>
      <c r="G7" s="266"/>
      <c r="H7" s="267"/>
      <c r="J7" s="184"/>
      <c r="K7" s="185"/>
      <c r="L7" s="217" t="s">
        <v>86</v>
      </c>
    </row>
    <row r="8" spans="1:12" ht="15">
      <c r="A8" s="154" t="s">
        <v>0</v>
      </c>
      <c r="B8" s="155"/>
      <c r="C8" s="155">
        <v>2006</v>
      </c>
      <c r="D8" s="157">
        <v>2007</v>
      </c>
      <c r="F8" s="225" t="s">
        <v>39</v>
      </c>
      <c r="G8" s="159" t="s">
        <v>40</v>
      </c>
      <c r="H8" s="226" t="s">
        <v>41</v>
      </c>
      <c r="J8" s="110" t="s">
        <v>226</v>
      </c>
      <c r="K8" s="102" t="s">
        <v>238</v>
      </c>
      <c r="L8" s="230" t="s">
        <v>236</v>
      </c>
    </row>
    <row r="9" spans="1:12" ht="15">
      <c r="A9" s="205"/>
      <c r="B9" s="149"/>
      <c r="C9" s="149"/>
      <c r="D9" s="150"/>
      <c r="F9" s="96"/>
      <c r="G9" s="87"/>
      <c r="H9" s="198"/>
      <c r="J9" s="96"/>
      <c r="K9" s="256"/>
      <c r="L9" s="198"/>
    </row>
    <row r="10" spans="1:12" ht="12.75">
      <c r="A10" s="117" t="s">
        <v>38</v>
      </c>
      <c r="B10" s="160" t="s">
        <v>12</v>
      </c>
      <c r="C10" s="201">
        <v>14019363</v>
      </c>
      <c r="D10" s="202">
        <v>14922171</v>
      </c>
      <c r="F10" s="200">
        <f>0.4257*D10</f>
        <v>6352368.1947</v>
      </c>
      <c r="G10" s="227">
        <f>0.1333*D10</f>
        <v>1989125.3943</v>
      </c>
      <c r="H10" s="202">
        <f>((13.33*30/100)/100)*D10</f>
        <v>596737.61829</v>
      </c>
      <c r="J10" s="200">
        <f>(H10*600)*(4/5.67)</f>
        <v>252587351.65714288</v>
      </c>
      <c r="K10" s="214" t="s">
        <v>83</v>
      </c>
      <c r="L10" s="202">
        <f>(0.1489*D10)*580</f>
        <v>1288708531.9020002</v>
      </c>
    </row>
    <row r="11" spans="1:12" ht="12.75">
      <c r="A11" s="117"/>
      <c r="B11" s="160" t="s">
        <v>13</v>
      </c>
      <c r="C11" s="201">
        <v>6622785</v>
      </c>
      <c r="D11" s="202">
        <v>7030427</v>
      </c>
      <c r="F11" s="200"/>
      <c r="G11" s="227"/>
      <c r="H11" s="202"/>
      <c r="J11" s="200"/>
      <c r="K11" s="214"/>
      <c r="L11" s="202"/>
    </row>
    <row r="12" spans="1:12" ht="12.75">
      <c r="A12" s="206"/>
      <c r="B12" s="192"/>
      <c r="C12" s="193"/>
      <c r="D12" s="194"/>
      <c r="F12" s="199"/>
      <c r="G12" s="228"/>
      <c r="H12" s="191"/>
      <c r="J12" s="199"/>
      <c r="K12" s="216"/>
      <c r="L12" s="191"/>
    </row>
    <row r="13" spans="1:12" ht="12.75">
      <c r="A13" s="207" t="s">
        <v>119</v>
      </c>
      <c r="B13" s="195" t="s">
        <v>12</v>
      </c>
      <c r="C13" s="196">
        <v>9502303</v>
      </c>
      <c r="D13" s="197">
        <v>9752645</v>
      </c>
      <c r="F13" s="200">
        <f>0.4257*D13</f>
        <v>4151700.9765000003</v>
      </c>
      <c r="G13" s="227">
        <f>0.1333*D13</f>
        <v>1300027.5785</v>
      </c>
      <c r="H13" s="202">
        <f>((13.33*30/100)/100)*D13</f>
        <v>390008.27355</v>
      </c>
      <c r="J13" s="200">
        <f>(H13*600)*(4/5.67)</f>
        <v>165082867.1111111</v>
      </c>
      <c r="K13" s="214" t="s">
        <v>83</v>
      </c>
      <c r="L13" s="202">
        <f>(0.1489*D13)*580</f>
        <v>842257927.49</v>
      </c>
    </row>
    <row r="14" spans="1:12" ht="12.75">
      <c r="A14" s="207"/>
      <c r="B14" s="195" t="s">
        <v>13</v>
      </c>
      <c r="C14" s="196">
        <v>4582567</v>
      </c>
      <c r="D14" s="197">
        <v>4735146</v>
      </c>
      <c r="F14" s="200"/>
      <c r="G14" s="227"/>
      <c r="H14" s="202"/>
      <c r="J14" s="200"/>
      <c r="K14" s="214"/>
      <c r="L14" s="202"/>
    </row>
    <row r="15" spans="1:12" ht="12.75">
      <c r="A15" s="206"/>
      <c r="B15" s="192"/>
      <c r="C15" s="193"/>
      <c r="D15" s="194"/>
      <c r="F15" s="199"/>
      <c r="G15" s="228"/>
      <c r="H15" s="191"/>
      <c r="J15" s="199"/>
      <c r="K15" s="216"/>
      <c r="L15" s="191"/>
    </row>
    <row r="16" spans="1:12" ht="12.75">
      <c r="A16" s="207" t="s">
        <v>120</v>
      </c>
      <c r="B16" s="195" t="s">
        <v>12</v>
      </c>
      <c r="C16" s="196">
        <v>1170000</v>
      </c>
      <c r="D16" s="197">
        <v>1728475</v>
      </c>
      <c r="F16" s="200">
        <f>0.4257*D16</f>
        <v>735811.8075</v>
      </c>
      <c r="G16" s="227">
        <f>0.1333*D16</f>
        <v>230405.7175</v>
      </c>
      <c r="H16" s="202">
        <f>((13.33*30/100)/100)*D16</f>
        <v>69121.71525</v>
      </c>
      <c r="J16" s="200">
        <f>(H16*600)*(4/5.67)</f>
        <v>29257868.888888888</v>
      </c>
      <c r="K16" s="214" t="s">
        <v>83</v>
      </c>
      <c r="L16" s="202">
        <f>(0.1489*D16)*580</f>
        <v>149274557.95000002</v>
      </c>
    </row>
    <row r="17" spans="1:12" ht="12.75">
      <c r="A17" s="207"/>
      <c r="B17" s="195" t="s">
        <v>13</v>
      </c>
      <c r="C17" s="196">
        <v>210600</v>
      </c>
      <c r="D17" s="197">
        <v>392980</v>
      </c>
      <c r="F17" s="200"/>
      <c r="G17" s="227"/>
      <c r="H17" s="202"/>
      <c r="J17" s="200"/>
      <c r="K17" s="214"/>
      <c r="L17" s="202"/>
    </row>
    <row r="18" spans="1:12" ht="12.75">
      <c r="A18" s="206"/>
      <c r="B18" s="192"/>
      <c r="C18" s="193"/>
      <c r="D18" s="194"/>
      <c r="F18" s="199"/>
      <c r="G18" s="228"/>
      <c r="H18" s="191"/>
      <c r="J18" s="199"/>
      <c r="K18" s="216"/>
      <c r="L18" s="191"/>
    </row>
    <row r="19" spans="1:12" ht="12.75">
      <c r="A19" s="207" t="s">
        <v>118</v>
      </c>
      <c r="B19" s="195" t="s">
        <v>12</v>
      </c>
      <c r="C19" s="196">
        <v>1468905</v>
      </c>
      <c r="D19" s="197">
        <v>1505070</v>
      </c>
      <c r="F19" s="200">
        <f>0.4257*D19</f>
        <v>640708.299</v>
      </c>
      <c r="G19" s="227">
        <f>0.1333*D19</f>
        <v>200625.831</v>
      </c>
      <c r="H19" s="202">
        <f>((13.33*30/100)/100)*D19</f>
        <v>60187.749299999996</v>
      </c>
      <c r="J19" s="200">
        <f>(H19*600)*(4/5.67)</f>
        <v>25476295.999999996</v>
      </c>
      <c r="K19" s="214" t="s">
        <v>83</v>
      </c>
      <c r="L19" s="202">
        <f>(0.1489*D19)*580</f>
        <v>129980855.34</v>
      </c>
    </row>
    <row r="20" spans="1:12" ht="12.75">
      <c r="A20" s="207"/>
      <c r="B20" s="195" t="s">
        <v>13</v>
      </c>
      <c r="C20" s="196">
        <v>173963</v>
      </c>
      <c r="D20" s="197">
        <v>136843</v>
      </c>
      <c r="F20" s="200"/>
      <c r="G20" s="227"/>
      <c r="H20" s="202"/>
      <c r="J20" s="200"/>
      <c r="K20" s="214"/>
      <c r="L20" s="202"/>
    </row>
    <row r="21" spans="1:12" ht="12.75">
      <c r="A21" s="206"/>
      <c r="B21" s="192"/>
      <c r="C21" s="193"/>
      <c r="D21" s="194"/>
      <c r="F21" s="199"/>
      <c r="G21" s="228"/>
      <c r="H21" s="191"/>
      <c r="J21" s="199"/>
      <c r="K21" s="216"/>
      <c r="L21" s="191"/>
    </row>
    <row r="22" spans="1:12" ht="12.75">
      <c r="A22" s="207" t="s">
        <v>14</v>
      </c>
      <c r="B22" s="195" t="s">
        <v>12</v>
      </c>
      <c r="C22" s="196">
        <v>765595</v>
      </c>
      <c r="D22" s="197">
        <v>792953</v>
      </c>
      <c r="F22" s="200">
        <f>0.4257*D22</f>
        <v>337560.0921</v>
      </c>
      <c r="G22" s="227">
        <f>0.1333*D22</f>
        <v>105700.6349</v>
      </c>
      <c r="H22" s="202">
        <f>((13.33*30/100)/100)*D22</f>
        <v>31710.190469999998</v>
      </c>
      <c r="J22" s="200">
        <f>(H22*600)*(4/5.67)</f>
        <v>13422302.844444443</v>
      </c>
      <c r="K22" s="214" t="s">
        <v>83</v>
      </c>
      <c r="L22" s="202">
        <f>(0.1489*D22)*580</f>
        <v>68481006.986</v>
      </c>
    </row>
    <row r="23" spans="1:12" ht="12.75">
      <c r="A23" s="207"/>
      <c r="B23" s="195" t="s">
        <v>13</v>
      </c>
      <c r="C23" s="196">
        <v>269657</v>
      </c>
      <c r="D23" s="197">
        <v>332524</v>
      </c>
      <c r="F23" s="200"/>
      <c r="G23" s="227"/>
      <c r="H23" s="202"/>
      <c r="J23" s="200"/>
      <c r="K23" s="214"/>
      <c r="L23" s="202"/>
    </row>
    <row r="24" spans="1:12" ht="12.75">
      <c r="A24" s="206"/>
      <c r="B24" s="192"/>
      <c r="C24" s="193"/>
      <c r="D24" s="194"/>
      <c r="F24" s="199"/>
      <c r="G24" s="228"/>
      <c r="H24" s="191"/>
      <c r="J24" s="199"/>
      <c r="K24" s="216"/>
      <c r="L24" s="191"/>
    </row>
    <row r="25" spans="1:12" ht="12.75">
      <c r="A25" s="207" t="s">
        <v>15</v>
      </c>
      <c r="B25" s="195" t="s">
        <v>12</v>
      </c>
      <c r="C25" s="196">
        <v>490062</v>
      </c>
      <c r="D25" s="197">
        <v>513964</v>
      </c>
      <c r="F25" s="200">
        <f>0.4257*D25</f>
        <v>218794.47480000003</v>
      </c>
      <c r="G25" s="227">
        <f>0.1333*D25</f>
        <v>68511.40120000001</v>
      </c>
      <c r="H25" s="202">
        <f>((13.33*30/100)/100)*D25</f>
        <v>20553.42036</v>
      </c>
      <c r="J25" s="200">
        <f>(H25*600)*(4/5.67)</f>
        <v>8699860.46984127</v>
      </c>
      <c r="K25" s="214" t="s">
        <v>83</v>
      </c>
      <c r="L25" s="202">
        <f>(0.1489*D25)*580</f>
        <v>44386958.968</v>
      </c>
    </row>
    <row r="26" spans="1:12" ht="12.75">
      <c r="A26" s="207"/>
      <c r="B26" s="195" t="s">
        <v>13</v>
      </c>
      <c r="C26" s="196">
        <v>1051361</v>
      </c>
      <c r="D26" s="197">
        <v>1107885</v>
      </c>
      <c r="F26" s="200"/>
      <c r="G26" s="227"/>
      <c r="H26" s="202"/>
      <c r="J26" s="200"/>
      <c r="K26" s="214"/>
      <c r="L26" s="202"/>
    </row>
    <row r="27" spans="1:12" ht="12.75">
      <c r="A27" s="206"/>
      <c r="B27" s="192"/>
      <c r="C27" s="193"/>
      <c r="D27" s="194"/>
      <c r="F27" s="199"/>
      <c r="G27" s="228"/>
      <c r="H27" s="191"/>
      <c r="J27" s="199"/>
      <c r="K27" s="216"/>
      <c r="L27" s="191"/>
    </row>
    <row r="28" spans="1:12" ht="12.75">
      <c r="A28" s="207" t="s">
        <v>16</v>
      </c>
      <c r="B28" s="195" t="s">
        <v>12</v>
      </c>
      <c r="C28" s="196">
        <v>444300</v>
      </c>
      <c r="D28" s="197">
        <v>444300</v>
      </c>
      <c r="F28" s="200">
        <f>0.4257*D28</f>
        <v>189138.51</v>
      </c>
      <c r="G28" s="227">
        <f>0.1333*D28</f>
        <v>59225.19</v>
      </c>
      <c r="H28" s="202">
        <f>((13.33*30/100)/100)*D28</f>
        <v>17767.557</v>
      </c>
      <c r="J28" s="200">
        <f>(H28*600)*(4/5.67)</f>
        <v>7520659.047619048</v>
      </c>
      <c r="K28" s="214" t="s">
        <v>83</v>
      </c>
      <c r="L28" s="202">
        <f>(0.1489*D28)*580</f>
        <v>38370636.6</v>
      </c>
    </row>
    <row r="29" spans="1:12" ht="12.75">
      <c r="A29" s="207"/>
      <c r="B29" s="195" t="s">
        <v>13</v>
      </c>
      <c r="C29" s="196">
        <v>344365</v>
      </c>
      <c r="D29" s="197">
        <v>244365</v>
      </c>
      <c r="F29" s="200"/>
      <c r="G29" s="227"/>
      <c r="H29" s="202"/>
      <c r="J29" s="200"/>
      <c r="K29" s="214"/>
      <c r="L29" s="202"/>
    </row>
    <row r="30" spans="1:12" ht="12.75">
      <c r="A30" s="206"/>
      <c r="B30" s="192"/>
      <c r="C30" s="193"/>
      <c r="D30" s="194"/>
      <c r="F30" s="199"/>
      <c r="G30" s="228"/>
      <c r="H30" s="191"/>
      <c r="J30" s="199"/>
      <c r="K30" s="216"/>
      <c r="L30" s="191"/>
    </row>
    <row r="31" spans="1:12" ht="12.75">
      <c r="A31" s="207" t="s">
        <v>17</v>
      </c>
      <c r="B31" s="195" t="s">
        <v>12</v>
      </c>
      <c r="C31" s="196">
        <v>60000</v>
      </c>
      <c r="D31" s="197">
        <v>80000</v>
      </c>
      <c r="F31" s="200">
        <f>0.4257*D31</f>
        <v>34056</v>
      </c>
      <c r="G31" s="227">
        <f>0.1333*D31</f>
        <v>10664</v>
      </c>
      <c r="H31" s="202">
        <f>((13.33*30/100)/100)*D31</f>
        <v>3199.2</v>
      </c>
      <c r="J31" s="200">
        <f>(H31*600)*(4/5.67)</f>
        <v>1354158.7301587302</v>
      </c>
      <c r="K31" s="214" t="s">
        <v>83</v>
      </c>
      <c r="L31" s="202">
        <f>(0.1489*D31)*580</f>
        <v>6908960</v>
      </c>
    </row>
    <row r="32" spans="1:12" ht="12.75">
      <c r="A32" s="207"/>
      <c r="B32" s="195" t="s">
        <v>13</v>
      </c>
      <c r="C32" s="196">
        <v>2454</v>
      </c>
      <c r="D32" s="197">
        <v>3492</v>
      </c>
      <c r="F32" s="200"/>
      <c r="G32" s="227"/>
      <c r="H32" s="202"/>
      <c r="J32" s="200"/>
      <c r="K32" s="214"/>
      <c r="L32" s="202"/>
    </row>
    <row r="33" spans="1:12" ht="12.75">
      <c r="A33" s="206"/>
      <c r="B33" s="192"/>
      <c r="C33" s="193"/>
      <c r="D33" s="194"/>
      <c r="F33" s="199"/>
      <c r="G33" s="228"/>
      <c r="H33" s="191"/>
      <c r="J33" s="199"/>
      <c r="K33" s="216"/>
      <c r="L33" s="191"/>
    </row>
    <row r="34" spans="1:12" ht="12.75">
      <c r="A34" s="207" t="s">
        <v>18</v>
      </c>
      <c r="B34" s="195" t="s">
        <v>12</v>
      </c>
      <c r="C34" s="196">
        <v>36000</v>
      </c>
      <c r="D34" s="197">
        <v>38000</v>
      </c>
      <c r="F34" s="200">
        <f>0.4257*D34</f>
        <v>16176.6</v>
      </c>
      <c r="G34" s="227">
        <f>0.1333*D34</f>
        <v>5065.4</v>
      </c>
      <c r="H34" s="202">
        <f>((13.33*30/100)/100)*D34</f>
        <v>1519.62</v>
      </c>
      <c r="J34" s="200">
        <f>(H34*600)*(4/5.67)</f>
        <v>643225.3968253967</v>
      </c>
      <c r="K34" s="214" t="s">
        <v>83</v>
      </c>
      <c r="L34" s="202">
        <f>(0.1489*D34)*580</f>
        <v>3281756</v>
      </c>
    </row>
    <row r="35" spans="1:12" ht="12.75">
      <c r="A35" s="207"/>
      <c r="B35" s="195" t="s">
        <v>13</v>
      </c>
      <c r="C35" s="196">
        <v>18000</v>
      </c>
      <c r="D35" s="197">
        <v>19000</v>
      </c>
      <c r="F35" s="200"/>
      <c r="G35" s="227"/>
      <c r="H35" s="202"/>
      <c r="J35" s="200"/>
      <c r="K35" s="214"/>
      <c r="L35" s="202"/>
    </row>
    <row r="36" spans="1:12" ht="12.75">
      <c r="A36" s="206"/>
      <c r="B36" s="192"/>
      <c r="C36" s="193"/>
      <c r="D36" s="194"/>
      <c r="F36" s="199"/>
      <c r="G36" s="228"/>
      <c r="H36" s="191"/>
      <c r="J36" s="199"/>
      <c r="K36" s="216"/>
      <c r="L36" s="191"/>
    </row>
    <row r="37" spans="1:12" ht="12.75">
      <c r="A37" s="207" t="s">
        <v>19</v>
      </c>
      <c r="B37" s="195" t="s">
        <v>12</v>
      </c>
      <c r="C37" s="196">
        <v>38219</v>
      </c>
      <c r="D37" s="197">
        <v>26387</v>
      </c>
      <c r="F37" s="200">
        <f>0.4257*D37</f>
        <v>11232.9459</v>
      </c>
      <c r="G37" s="227">
        <f>0.1333*D37</f>
        <v>3517.3871</v>
      </c>
      <c r="H37" s="202">
        <f>((13.33*30/100)/100)*D37</f>
        <v>1055.21613</v>
      </c>
      <c r="J37" s="200">
        <f>(H37*600)*(4/5.67)</f>
        <v>446652.3301587301</v>
      </c>
      <c r="K37" s="214" t="s">
        <v>83</v>
      </c>
      <c r="L37" s="202">
        <f>(0.1489*D37)*580</f>
        <v>2278834.094</v>
      </c>
    </row>
    <row r="38" spans="1:12" ht="12.75">
      <c r="A38" s="207"/>
      <c r="B38" s="195" t="s">
        <v>13</v>
      </c>
      <c r="C38" s="196">
        <v>61660</v>
      </c>
      <c r="D38" s="197">
        <v>43307</v>
      </c>
      <c r="F38" s="200"/>
      <c r="G38" s="227"/>
      <c r="H38" s="202"/>
      <c r="J38" s="200"/>
      <c r="K38" s="214"/>
      <c r="L38" s="202"/>
    </row>
    <row r="39" spans="1:12" ht="12.75">
      <c r="A39" s="206"/>
      <c r="B39" s="192"/>
      <c r="C39" s="193"/>
      <c r="D39" s="194"/>
      <c r="F39" s="199"/>
      <c r="G39" s="228"/>
      <c r="H39" s="191"/>
      <c r="J39" s="199"/>
      <c r="K39" s="216"/>
      <c r="L39" s="191"/>
    </row>
    <row r="40" spans="1:12" ht="12.75">
      <c r="A40" s="207" t="s">
        <v>20</v>
      </c>
      <c r="B40" s="195" t="s">
        <v>12</v>
      </c>
      <c r="C40" s="196">
        <v>16000</v>
      </c>
      <c r="D40" s="197">
        <v>16000</v>
      </c>
      <c r="F40" s="200">
        <f>0.4257*D40</f>
        <v>6811.200000000001</v>
      </c>
      <c r="G40" s="227">
        <f>0.1333*D40</f>
        <v>2132.8</v>
      </c>
      <c r="H40" s="202">
        <f>((13.33*30/100)/100)*D40</f>
        <v>639.8399999999999</v>
      </c>
      <c r="J40" s="200">
        <f>(H40*600)*(4/5.67)</f>
        <v>270831.746031746</v>
      </c>
      <c r="K40" s="214" t="s">
        <v>83</v>
      </c>
      <c r="L40" s="202">
        <f>(0.1489*D40)*580</f>
        <v>1381792</v>
      </c>
    </row>
    <row r="41" spans="1:12" ht="12.75">
      <c r="A41" s="207"/>
      <c r="B41" s="195" t="s">
        <v>13</v>
      </c>
      <c r="C41" s="196">
        <v>4000</v>
      </c>
      <c r="D41" s="197">
        <v>4000</v>
      </c>
      <c r="F41" s="200"/>
      <c r="G41" s="227"/>
      <c r="H41" s="202"/>
      <c r="J41" s="200"/>
      <c r="K41" s="214"/>
      <c r="L41" s="202"/>
    </row>
    <row r="42" spans="1:12" ht="12.75">
      <c r="A42" s="206"/>
      <c r="B42" s="192"/>
      <c r="C42" s="193"/>
      <c r="D42" s="194"/>
      <c r="F42" s="199"/>
      <c r="G42" s="228"/>
      <c r="H42" s="191"/>
      <c r="J42" s="199"/>
      <c r="K42" s="216"/>
      <c r="L42" s="191"/>
    </row>
    <row r="43" spans="1:12" ht="12.75">
      <c r="A43" s="207" t="s">
        <v>22</v>
      </c>
      <c r="B43" s="195" t="s">
        <v>12</v>
      </c>
      <c r="C43" s="196">
        <v>5949</v>
      </c>
      <c r="D43" s="197">
        <v>9390</v>
      </c>
      <c r="F43" s="200">
        <f>0.4257*D43</f>
        <v>3997.3230000000003</v>
      </c>
      <c r="G43" s="227">
        <f>0.1333*D43</f>
        <v>1251.6870000000001</v>
      </c>
      <c r="H43" s="202">
        <f>((13.33*30/100)/100)*D43</f>
        <v>375.5061</v>
      </c>
      <c r="J43" s="200">
        <f>(H43*600)*(4/5.67)</f>
        <v>158944.38095238095</v>
      </c>
      <c r="K43" s="214" t="s">
        <v>83</v>
      </c>
      <c r="L43" s="202">
        <f>(0.1489*D43)*580</f>
        <v>810939.18</v>
      </c>
    </row>
    <row r="44" spans="1:12" ht="12.75">
      <c r="A44" s="207"/>
      <c r="B44" s="195" t="s">
        <v>13</v>
      </c>
      <c r="C44" s="196">
        <v>447</v>
      </c>
      <c r="D44" s="197">
        <v>8311</v>
      </c>
      <c r="F44" s="200"/>
      <c r="G44" s="227"/>
      <c r="H44" s="202"/>
      <c r="J44" s="200"/>
      <c r="K44" s="214"/>
      <c r="L44" s="202"/>
    </row>
    <row r="45" spans="1:12" ht="12.75">
      <c r="A45" s="206"/>
      <c r="B45" s="192"/>
      <c r="C45" s="193"/>
      <c r="D45" s="194"/>
      <c r="F45" s="199"/>
      <c r="G45" s="228"/>
      <c r="H45" s="191"/>
      <c r="J45" s="199"/>
      <c r="K45" s="216"/>
      <c r="L45" s="191"/>
    </row>
    <row r="46" spans="1:12" ht="12.75">
      <c r="A46" s="207" t="s">
        <v>21</v>
      </c>
      <c r="B46" s="195" t="s">
        <v>12</v>
      </c>
      <c r="C46" s="196">
        <v>7676</v>
      </c>
      <c r="D46" s="197">
        <v>8485</v>
      </c>
      <c r="F46" s="200">
        <f>0.4257*D46</f>
        <v>3612.0645000000004</v>
      </c>
      <c r="G46" s="227">
        <f>0.1333*D46</f>
        <v>1131.0505</v>
      </c>
      <c r="H46" s="202">
        <f>((13.33*30/100)/100)*D46</f>
        <v>339.31514999999996</v>
      </c>
      <c r="J46" s="200">
        <f>(H46*600)*(4/5.67)</f>
        <v>143625.4603174603</v>
      </c>
      <c r="K46" s="214" t="s">
        <v>83</v>
      </c>
      <c r="L46" s="202">
        <f>(0.1489*D46)*580</f>
        <v>732781.5700000001</v>
      </c>
    </row>
    <row r="47" spans="1:12" ht="12.75">
      <c r="A47" s="207"/>
      <c r="B47" s="195" t="s">
        <v>13</v>
      </c>
      <c r="C47" s="196">
        <v>740</v>
      </c>
      <c r="D47" s="197">
        <v>580</v>
      </c>
      <c r="F47" s="200"/>
      <c r="G47" s="227"/>
      <c r="H47" s="202"/>
      <c r="J47" s="200"/>
      <c r="K47" s="214"/>
      <c r="L47" s="202"/>
    </row>
    <row r="48" spans="1:12" ht="12.75">
      <c r="A48" s="206"/>
      <c r="B48" s="192"/>
      <c r="C48" s="193"/>
      <c r="D48" s="194"/>
      <c r="F48" s="199"/>
      <c r="G48" s="228"/>
      <c r="H48" s="191"/>
      <c r="J48" s="199"/>
      <c r="K48" s="216"/>
      <c r="L48" s="191"/>
    </row>
    <row r="49" spans="1:12" ht="12.75">
      <c r="A49" s="207" t="s">
        <v>24</v>
      </c>
      <c r="B49" s="195" t="s">
        <v>12</v>
      </c>
      <c r="C49" s="196">
        <v>3000</v>
      </c>
      <c r="D49" s="197">
        <v>3000</v>
      </c>
      <c r="F49" s="200">
        <f>0.4257*D49</f>
        <v>1277.1000000000001</v>
      </c>
      <c r="G49" s="227">
        <f>0.1333*D49</f>
        <v>399.9</v>
      </c>
      <c r="H49" s="202">
        <f>((13.33*30/100)/100)*D49</f>
        <v>119.97</v>
      </c>
      <c r="J49" s="200">
        <f>(H49*600)*(4/5.67)</f>
        <v>50780.95238095238</v>
      </c>
      <c r="K49" s="214" t="s">
        <v>83</v>
      </c>
      <c r="L49" s="202">
        <f>(0.1489*D49)*580</f>
        <v>259086</v>
      </c>
    </row>
    <row r="50" spans="1:12" ht="12.75">
      <c r="A50" s="207"/>
      <c r="B50" s="195" t="s">
        <v>13</v>
      </c>
      <c r="C50" s="196">
        <v>1265</v>
      </c>
      <c r="D50" s="197">
        <v>1208</v>
      </c>
      <c r="F50" s="200"/>
      <c r="G50" s="227"/>
      <c r="H50" s="202"/>
      <c r="J50" s="200"/>
      <c r="K50" s="214"/>
      <c r="L50" s="202"/>
    </row>
    <row r="51" spans="1:12" ht="12.75">
      <c r="A51" s="206"/>
      <c r="B51" s="192"/>
      <c r="C51" s="193"/>
      <c r="D51" s="194"/>
      <c r="F51" s="199"/>
      <c r="G51" s="228"/>
      <c r="H51" s="191"/>
      <c r="J51" s="199"/>
      <c r="K51" s="216"/>
      <c r="L51" s="191"/>
    </row>
    <row r="52" spans="1:12" ht="12.75">
      <c r="A52" s="207" t="s">
        <v>25</v>
      </c>
      <c r="B52" s="195" t="s">
        <v>12</v>
      </c>
      <c r="C52" s="196">
        <v>950</v>
      </c>
      <c r="D52" s="197">
        <v>1300</v>
      </c>
      <c r="F52" s="200">
        <f>0.4257*D52</f>
        <v>553.4100000000001</v>
      </c>
      <c r="G52" s="227">
        <f>0.1333*D52</f>
        <v>173.29</v>
      </c>
      <c r="H52" s="202">
        <f>((13.33*30/100)/100)*D52</f>
        <v>51.986999999999995</v>
      </c>
      <c r="J52" s="200">
        <f>(H52*600)*(4/5.67)</f>
        <v>22005.07936507936</v>
      </c>
      <c r="K52" s="214" t="s">
        <v>83</v>
      </c>
      <c r="L52" s="202">
        <f>(0.1489*D52)*580</f>
        <v>112270.59999999999</v>
      </c>
    </row>
    <row r="53" spans="1:12" ht="12.75">
      <c r="A53" s="207"/>
      <c r="B53" s="195" t="s">
        <v>13</v>
      </c>
      <c r="C53" s="196">
        <v>128</v>
      </c>
      <c r="D53" s="197">
        <v>176</v>
      </c>
      <c r="F53" s="200"/>
      <c r="G53" s="227"/>
      <c r="H53" s="202"/>
      <c r="J53" s="200"/>
      <c r="K53" s="214"/>
      <c r="L53" s="202"/>
    </row>
    <row r="54" spans="1:12" ht="12.75">
      <c r="A54" s="206"/>
      <c r="B54" s="192"/>
      <c r="C54" s="193"/>
      <c r="D54" s="194"/>
      <c r="F54" s="199"/>
      <c r="G54" s="228"/>
      <c r="H54" s="191"/>
      <c r="J54" s="199"/>
      <c r="K54" s="216"/>
      <c r="L54" s="191"/>
    </row>
    <row r="55" spans="1:12" ht="12.75">
      <c r="A55" s="207" t="s">
        <v>23</v>
      </c>
      <c r="B55" s="195" t="s">
        <v>12</v>
      </c>
      <c r="C55" s="196">
        <v>8837</v>
      </c>
      <c r="D55" s="197">
        <v>1112</v>
      </c>
      <c r="F55" s="200">
        <f>0.4257*D55</f>
        <v>473.3784</v>
      </c>
      <c r="G55" s="227">
        <f>0.1333*D55</f>
        <v>148.2296</v>
      </c>
      <c r="H55" s="202">
        <f>((13.33*30/100)/100)*D55</f>
        <v>44.46888</v>
      </c>
      <c r="J55" s="200">
        <f>(H55*600)*(4/5.67)</f>
        <v>18822.806349206345</v>
      </c>
      <c r="K55" s="214" t="s">
        <v>83</v>
      </c>
      <c r="L55" s="202">
        <f>(0.1489*D55)*580</f>
        <v>96034.544</v>
      </c>
    </row>
    <row r="56" spans="1:12" ht="12.75">
      <c r="A56" s="207"/>
      <c r="B56" s="195" t="s">
        <v>13</v>
      </c>
      <c r="C56" s="196">
        <v>353</v>
      </c>
      <c r="D56" s="197">
        <v>44</v>
      </c>
      <c r="F56" s="200"/>
      <c r="G56" s="227"/>
      <c r="H56" s="202"/>
      <c r="J56" s="200"/>
      <c r="K56" s="214"/>
      <c r="L56" s="202"/>
    </row>
    <row r="57" spans="1:12" ht="12.75">
      <c r="A57" s="206"/>
      <c r="B57" s="192"/>
      <c r="C57" s="193"/>
      <c r="D57" s="194"/>
      <c r="F57" s="199"/>
      <c r="G57" s="228"/>
      <c r="H57" s="191"/>
      <c r="J57" s="199"/>
      <c r="K57" s="216"/>
      <c r="L57" s="191"/>
    </row>
    <row r="58" spans="1:12" ht="12.75">
      <c r="A58" s="207" t="s">
        <v>8</v>
      </c>
      <c r="B58" s="195" t="s">
        <v>12</v>
      </c>
      <c r="C58" s="196">
        <v>320</v>
      </c>
      <c r="D58" s="197">
        <v>400</v>
      </c>
      <c r="F58" s="200">
        <f>0.4257*D58</f>
        <v>170.28</v>
      </c>
      <c r="G58" s="227">
        <f>0.1333*D58</f>
        <v>53.32</v>
      </c>
      <c r="H58" s="202">
        <f>((13.33*30/100)/100)*D58</f>
        <v>15.995999999999999</v>
      </c>
      <c r="J58" s="200">
        <f>(H58*600)*(4/5.67)</f>
        <v>6770.793650793649</v>
      </c>
      <c r="K58" s="214" t="s">
        <v>83</v>
      </c>
      <c r="L58" s="202">
        <f>(0.1489*D58)*580</f>
        <v>34544.8</v>
      </c>
    </row>
    <row r="59" spans="1:12" ht="12.75">
      <c r="A59" s="207"/>
      <c r="B59" s="195" t="s">
        <v>13</v>
      </c>
      <c r="C59" s="196">
        <v>31</v>
      </c>
      <c r="D59" s="197">
        <v>27</v>
      </c>
      <c r="F59" s="200"/>
      <c r="G59" s="227"/>
      <c r="H59" s="202"/>
      <c r="J59" s="200"/>
      <c r="K59" s="214"/>
      <c r="L59" s="202"/>
    </row>
    <row r="60" spans="1:12" ht="12.75">
      <c r="A60" s="206"/>
      <c r="B60" s="192"/>
      <c r="C60" s="193"/>
      <c r="D60" s="194"/>
      <c r="F60" s="199"/>
      <c r="G60" s="228"/>
      <c r="H60" s="191"/>
      <c r="J60" s="199"/>
      <c r="K60" s="216"/>
      <c r="L60" s="191"/>
    </row>
    <row r="61" spans="1:12" ht="12.75">
      <c r="A61" s="207" t="s">
        <v>26</v>
      </c>
      <c r="B61" s="195" t="s">
        <v>12</v>
      </c>
      <c r="C61" s="196">
        <v>818</v>
      </c>
      <c r="D61" s="197">
        <v>300</v>
      </c>
      <c r="F61" s="200">
        <f>0.4257*D61</f>
        <v>127.71000000000001</v>
      </c>
      <c r="G61" s="227">
        <f>0.1333*D61</f>
        <v>39.99</v>
      </c>
      <c r="H61" s="202">
        <f>((13.33*30/100)/100)*D61</f>
        <v>11.997</v>
      </c>
      <c r="J61" s="200">
        <f>(H61*600)*(4/5.67)</f>
        <v>5078.095238095238</v>
      </c>
      <c r="K61" s="214" t="s">
        <v>83</v>
      </c>
      <c r="L61" s="202">
        <f>(0.1489*D61)*580</f>
        <v>25908.600000000002</v>
      </c>
    </row>
    <row r="62" spans="1:12" ht="12.75">
      <c r="A62" s="207"/>
      <c r="B62" s="195" t="s">
        <v>13</v>
      </c>
      <c r="C62" s="196">
        <v>982</v>
      </c>
      <c r="D62" s="197">
        <v>360</v>
      </c>
      <c r="F62" s="200"/>
      <c r="G62" s="227"/>
      <c r="H62" s="202"/>
      <c r="J62" s="200"/>
      <c r="K62" s="214"/>
      <c r="L62" s="202"/>
    </row>
    <row r="63" spans="1:12" ht="12.75">
      <c r="A63" s="206"/>
      <c r="B63" s="192"/>
      <c r="C63" s="193"/>
      <c r="D63" s="194"/>
      <c r="F63" s="199"/>
      <c r="G63" s="228"/>
      <c r="H63" s="191"/>
      <c r="J63" s="199"/>
      <c r="K63" s="216"/>
      <c r="L63" s="191"/>
    </row>
    <row r="64" spans="1:12" ht="12.75">
      <c r="A64" s="207" t="s">
        <v>27</v>
      </c>
      <c r="B64" s="195" t="s">
        <v>12</v>
      </c>
      <c r="C64" s="196">
        <v>169</v>
      </c>
      <c r="D64" s="197">
        <v>108</v>
      </c>
      <c r="F64" s="200">
        <f>0.4257*D64</f>
        <v>45.9756</v>
      </c>
      <c r="G64" s="227">
        <f>0.1333*D64</f>
        <v>14.3964</v>
      </c>
      <c r="H64" s="202">
        <f>((13.33*30/100)/100)*D64</f>
        <v>4.318919999999999</v>
      </c>
      <c r="J64" s="200">
        <f>(H64*600)*(4/5.67)</f>
        <v>1828.1142857142854</v>
      </c>
      <c r="K64" s="214" t="s">
        <v>83</v>
      </c>
      <c r="L64" s="202">
        <f>(0.1489*D64)*580</f>
        <v>9327.096</v>
      </c>
    </row>
    <row r="65" spans="1:12" ht="12.75">
      <c r="A65" s="207"/>
      <c r="B65" s="195" t="s">
        <v>13</v>
      </c>
      <c r="C65" s="196">
        <v>33</v>
      </c>
      <c r="D65" s="197">
        <v>21</v>
      </c>
      <c r="F65" s="200"/>
      <c r="G65" s="227"/>
      <c r="H65" s="202"/>
      <c r="J65" s="200"/>
      <c r="K65" s="214"/>
      <c r="L65" s="202"/>
    </row>
    <row r="66" spans="1:12" ht="12.75">
      <c r="A66" s="206"/>
      <c r="B66" s="192"/>
      <c r="C66" s="193"/>
      <c r="D66" s="194"/>
      <c r="F66" s="199"/>
      <c r="G66" s="228"/>
      <c r="H66" s="191"/>
      <c r="J66" s="199"/>
      <c r="K66" s="216"/>
      <c r="L66" s="191"/>
    </row>
    <row r="67" spans="1:12" ht="12.75">
      <c r="A67" s="207" t="s">
        <v>29</v>
      </c>
      <c r="B67" s="195" t="s">
        <v>12</v>
      </c>
      <c r="C67" s="196">
        <v>15</v>
      </c>
      <c r="D67" s="197">
        <v>69</v>
      </c>
      <c r="F67" s="200">
        <f>0.4257*D67</f>
        <v>29.3733</v>
      </c>
      <c r="G67" s="227">
        <f>0.1333*D67</f>
        <v>9.1977</v>
      </c>
      <c r="H67" s="202">
        <f>((13.33*30/100)/100)*D67</f>
        <v>2.7593099999999997</v>
      </c>
      <c r="J67" s="200">
        <f>(H67*600)*(4/5.67)</f>
        <v>1167.9619047619046</v>
      </c>
      <c r="K67" s="214" t="s">
        <v>83</v>
      </c>
      <c r="L67" s="202">
        <f>(0.1489*D67)*580</f>
        <v>5958.978</v>
      </c>
    </row>
    <row r="68" spans="1:12" ht="12.75">
      <c r="A68" s="207"/>
      <c r="B68" s="195" t="s">
        <v>13</v>
      </c>
      <c r="C68" s="196">
        <v>3</v>
      </c>
      <c r="D68" s="197">
        <v>14</v>
      </c>
      <c r="F68" s="200"/>
      <c r="G68" s="227"/>
      <c r="H68" s="202"/>
      <c r="J68" s="200"/>
      <c r="K68" s="214"/>
      <c r="L68" s="202"/>
    </row>
    <row r="69" spans="1:12" ht="12.75">
      <c r="A69" s="206"/>
      <c r="B69" s="192"/>
      <c r="C69" s="193"/>
      <c r="D69" s="194"/>
      <c r="F69" s="199"/>
      <c r="G69" s="228"/>
      <c r="H69" s="191"/>
      <c r="J69" s="199"/>
      <c r="K69" s="216"/>
      <c r="L69" s="191"/>
    </row>
    <row r="70" spans="1:12" ht="12.75">
      <c r="A70" s="207" t="s">
        <v>31</v>
      </c>
      <c r="B70" s="195" t="s">
        <v>12</v>
      </c>
      <c r="C70" s="196">
        <v>119</v>
      </c>
      <c r="D70" s="197">
        <v>65</v>
      </c>
      <c r="F70" s="200">
        <f>0.4257*D70</f>
        <v>27.6705</v>
      </c>
      <c r="G70" s="227">
        <f>0.1333*D70</f>
        <v>8.6645</v>
      </c>
      <c r="H70" s="202">
        <f>((13.33*30/100)/100)*D70</f>
        <v>2.59935</v>
      </c>
      <c r="J70" s="200">
        <f>(H70*600)*(4/5.67)</f>
        <v>1100.2539682539682</v>
      </c>
      <c r="K70" s="214" t="s">
        <v>83</v>
      </c>
      <c r="L70" s="202">
        <f>(0.1489*D70)*580</f>
        <v>5613.53</v>
      </c>
    </row>
    <row r="71" spans="1:12" ht="12.75">
      <c r="A71" s="207"/>
      <c r="B71" s="195" t="s">
        <v>13</v>
      </c>
      <c r="C71" s="196">
        <v>65</v>
      </c>
      <c r="D71" s="197">
        <v>36</v>
      </c>
      <c r="F71" s="200"/>
      <c r="G71" s="227"/>
      <c r="H71" s="202"/>
      <c r="J71" s="200"/>
      <c r="K71" s="214"/>
      <c r="L71" s="202"/>
    </row>
    <row r="72" spans="1:12" ht="12.75">
      <c r="A72" s="206"/>
      <c r="B72" s="192"/>
      <c r="C72" s="193"/>
      <c r="D72" s="194"/>
      <c r="F72" s="199"/>
      <c r="G72" s="228"/>
      <c r="H72" s="191"/>
      <c r="J72" s="199"/>
      <c r="K72" s="216"/>
      <c r="L72" s="191"/>
    </row>
    <row r="73" spans="1:12" ht="12.75">
      <c r="A73" s="207" t="s">
        <v>28</v>
      </c>
      <c r="B73" s="195" t="s">
        <v>12</v>
      </c>
      <c r="C73" s="196">
        <v>0</v>
      </c>
      <c r="D73" s="197">
        <v>37</v>
      </c>
      <c r="F73" s="200">
        <f>0.4257*D73</f>
        <v>15.750900000000001</v>
      </c>
      <c r="G73" s="227">
        <f>0.1333*D73</f>
        <v>4.9321</v>
      </c>
      <c r="H73" s="202">
        <f>((13.33*30/100)/100)*D73</f>
        <v>1.47963</v>
      </c>
      <c r="J73" s="200">
        <f>(H73*600)*(4/5.67)</f>
        <v>626.2984126984127</v>
      </c>
      <c r="K73" s="214" t="s">
        <v>83</v>
      </c>
      <c r="L73" s="202">
        <f>(0.1489*D73)*580</f>
        <v>3195.3940000000002</v>
      </c>
    </row>
    <row r="74" spans="1:12" ht="12.75">
      <c r="A74" s="207"/>
      <c r="B74" s="195" t="s">
        <v>13</v>
      </c>
      <c r="C74" s="196">
        <v>0</v>
      </c>
      <c r="D74" s="197">
        <v>5</v>
      </c>
      <c r="F74" s="200"/>
      <c r="G74" s="227"/>
      <c r="H74" s="202"/>
      <c r="J74" s="200"/>
      <c r="K74" s="214"/>
      <c r="L74" s="202"/>
    </row>
    <row r="75" spans="1:12" ht="12.75">
      <c r="A75" s="187"/>
      <c r="B75" s="97"/>
      <c r="C75" s="97"/>
      <c r="D75" s="189"/>
      <c r="F75" s="199"/>
      <c r="G75" s="228"/>
      <c r="H75" s="191"/>
      <c r="J75" s="199"/>
      <c r="K75" s="216"/>
      <c r="L75" s="191"/>
    </row>
    <row r="76" spans="1:12" ht="12.75">
      <c r="A76" s="207" t="s">
        <v>124</v>
      </c>
      <c r="B76" s="195" t="s">
        <v>12</v>
      </c>
      <c r="C76" s="196">
        <v>32</v>
      </c>
      <c r="D76" s="197">
        <v>35</v>
      </c>
      <c r="F76" s="200">
        <f>0.4257*D76</f>
        <v>14.899500000000002</v>
      </c>
      <c r="G76" s="227">
        <f>0.1333*D76</f>
        <v>4.6655</v>
      </c>
      <c r="H76" s="202">
        <f>((13.33*30/100)/100)*D76</f>
        <v>1.3996499999999998</v>
      </c>
      <c r="J76" s="200">
        <f>(H76*600)*(4/5.67)</f>
        <v>592.4444444444443</v>
      </c>
      <c r="K76" s="214" t="s">
        <v>83</v>
      </c>
      <c r="L76" s="202">
        <f>(0.1489*D76)*580</f>
        <v>3022.67</v>
      </c>
    </row>
    <row r="77" spans="1:12" ht="12.75">
      <c r="A77" s="207"/>
      <c r="B77" s="195" t="s">
        <v>13</v>
      </c>
      <c r="C77" s="196">
        <v>17</v>
      </c>
      <c r="D77" s="197">
        <v>16</v>
      </c>
      <c r="F77" s="200"/>
      <c r="G77" s="227"/>
      <c r="H77" s="202"/>
      <c r="J77" s="200"/>
      <c r="K77" s="214"/>
      <c r="L77" s="202"/>
    </row>
    <row r="78" spans="1:12" ht="12.75">
      <c r="A78" s="206"/>
      <c r="B78" s="192"/>
      <c r="C78" s="193"/>
      <c r="D78" s="194"/>
      <c r="F78" s="199"/>
      <c r="G78" s="228"/>
      <c r="H78" s="191"/>
      <c r="J78" s="199"/>
      <c r="K78" s="216"/>
      <c r="L78" s="191"/>
    </row>
    <row r="79" spans="1:12" ht="12.75">
      <c r="A79" s="207" t="s">
        <v>32</v>
      </c>
      <c r="B79" s="195" t="s">
        <v>12</v>
      </c>
      <c r="C79" s="196">
        <v>70</v>
      </c>
      <c r="D79" s="197">
        <v>27</v>
      </c>
      <c r="F79" s="200">
        <f>0.4257*D79</f>
        <v>11.4939</v>
      </c>
      <c r="G79" s="227">
        <f>0.1333*D79</f>
        <v>3.5991</v>
      </c>
      <c r="H79" s="202">
        <f>((13.33*30/100)/100)*D79</f>
        <v>1.0797299999999999</v>
      </c>
      <c r="J79" s="200">
        <f>(H79*600)*(4/5.67)</f>
        <v>457.02857142857135</v>
      </c>
      <c r="K79" s="214" t="s">
        <v>83</v>
      </c>
      <c r="L79" s="202">
        <f>(0.1489*D79)*580</f>
        <v>2331.774</v>
      </c>
    </row>
    <row r="80" spans="1:12" ht="12.75">
      <c r="A80" s="207"/>
      <c r="B80" s="195" t="s">
        <v>13</v>
      </c>
      <c r="C80" s="196">
        <v>65</v>
      </c>
      <c r="D80" s="197">
        <v>25</v>
      </c>
      <c r="F80" s="200"/>
      <c r="G80" s="227"/>
      <c r="H80" s="202"/>
      <c r="J80" s="200"/>
      <c r="K80" s="214"/>
      <c r="L80" s="202"/>
    </row>
    <row r="81" spans="1:12" ht="12.75">
      <c r="A81" s="206"/>
      <c r="B81" s="192"/>
      <c r="C81" s="193"/>
      <c r="D81" s="194"/>
      <c r="F81" s="199"/>
      <c r="G81" s="228"/>
      <c r="H81" s="191"/>
      <c r="J81" s="199"/>
      <c r="K81" s="216"/>
      <c r="L81" s="191"/>
    </row>
    <row r="82" spans="1:12" ht="12.75">
      <c r="A82" s="207" t="s">
        <v>33</v>
      </c>
      <c r="B82" s="195" t="s">
        <v>12</v>
      </c>
      <c r="C82" s="196">
        <v>1</v>
      </c>
      <c r="D82" s="197">
        <v>26</v>
      </c>
      <c r="F82" s="200">
        <f>0.4257*D82</f>
        <v>11.068200000000001</v>
      </c>
      <c r="G82" s="227">
        <f>0.1333*D82</f>
        <v>3.4658</v>
      </c>
      <c r="H82" s="202">
        <f>((13.33*30/100)/100)*D82</f>
        <v>1.0397399999999999</v>
      </c>
      <c r="J82" s="200">
        <f>(H82*600)*(4/5.67)</f>
        <v>440.10158730158724</v>
      </c>
      <c r="K82" s="214" t="s">
        <v>83</v>
      </c>
      <c r="L82" s="202">
        <f>(0.1489*D82)*580</f>
        <v>2245.412</v>
      </c>
    </row>
    <row r="83" spans="1:12" ht="12.75">
      <c r="A83" s="207"/>
      <c r="B83" s="195" t="s">
        <v>13</v>
      </c>
      <c r="C83" s="196">
        <v>1</v>
      </c>
      <c r="D83" s="197">
        <v>50</v>
      </c>
      <c r="F83" s="200"/>
      <c r="G83" s="227"/>
      <c r="H83" s="202"/>
      <c r="J83" s="200"/>
      <c r="K83" s="214"/>
      <c r="L83" s="202"/>
    </row>
    <row r="84" spans="1:12" ht="12.75">
      <c r="A84" s="187"/>
      <c r="B84" s="97"/>
      <c r="C84" s="97"/>
      <c r="D84" s="189"/>
      <c r="F84" s="199"/>
      <c r="G84" s="228"/>
      <c r="H84" s="191"/>
      <c r="J84" s="199"/>
      <c r="K84" s="216"/>
      <c r="L84" s="191"/>
    </row>
    <row r="85" spans="1:12" ht="12.75">
      <c r="A85" s="207" t="s">
        <v>30</v>
      </c>
      <c r="B85" s="195" t="s">
        <v>12</v>
      </c>
      <c r="C85" s="196">
        <v>20</v>
      </c>
      <c r="D85" s="197">
        <v>20</v>
      </c>
      <c r="F85" s="200">
        <f>0.4257*D85</f>
        <v>8.514000000000001</v>
      </c>
      <c r="G85" s="227">
        <f>0.1333*D85</f>
        <v>2.666</v>
      </c>
      <c r="H85" s="202">
        <f>((13.33*30/100)/100)*D85</f>
        <v>0.7998</v>
      </c>
      <c r="J85" s="200">
        <f>(H85*600)*(4/5.67)</f>
        <v>338.53968253968253</v>
      </c>
      <c r="K85" s="214" t="s">
        <v>83</v>
      </c>
      <c r="L85" s="202">
        <f>(0.1489*D85)*580</f>
        <v>1727.24</v>
      </c>
    </row>
    <row r="86" spans="1:12" ht="12.75">
      <c r="A86" s="207"/>
      <c r="B86" s="195" t="s">
        <v>13</v>
      </c>
      <c r="C86" s="196">
        <v>10</v>
      </c>
      <c r="D86" s="197">
        <v>10</v>
      </c>
      <c r="F86" s="200"/>
      <c r="G86" s="227"/>
      <c r="H86" s="202"/>
      <c r="J86" s="200"/>
      <c r="K86" s="214"/>
      <c r="L86" s="202"/>
    </row>
    <row r="87" spans="1:12" ht="12.75">
      <c r="A87" s="187"/>
      <c r="B87" s="97"/>
      <c r="C87" s="97"/>
      <c r="D87" s="189"/>
      <c r="F87" s="199"/>
      <c r="G87" s="228"/>
      <c r="H87" s="191"/>
      <c r="J87" s="199"/>
      <c r="K87" s="216"/>
      <c r="L87" s="191"/>
    </row>
    <row r="88" spans="1:12" ht="12.75">
      <c r="A88" s="207" t="s">
        <v>117</v>
      </c>
      <c r="B88" s="195" t="s">
        <v>12</v>
      </c>
      <c r="C88" s="196">
        <v>2</v>
      </c>
      <c r="D88" s="197">
        <v>2</v>
      </c>
      <c r="F88" s="200">
        <f>0.4257*D88</f>
        <v>0.8514</v>
      </c>
      <c r="G88" s="227">
        <f>0.1333*D88</f>
        <v>0.2666</v>
      </c>
      <c r="H88" s="202">
        <f>((13.33*30/100)/100)*D88</f>
        <v>0.07998</v>
      </c>
      <c r="J88" s="200">
        <f>(H88*600)*(4/5.67)</f>
        <v>33.853968253968254</v>
      </c>
      <c r="K88" s="214" t="s">
        <v>83</v>
      </c>
      <c r="L88" s="202">
        <f>(0.1489*D88)*580</f>
        <v>172.72400000000002</v>
      </c>
    </row>
    <row r="89" spans="1:12" ht="12.75">
      <c r="A89" s="207"/>
      <c r="B89" s="195" t="s">
        <v>13</v>
      </c>
      <c r="C89" s="196">
        <v>0</v>
      </c>
      <c r="D89" s="197">
        <v>0</v>
      </c>
      <c r="F89" s="200"/>
      <c r="G89" s="227"/>
      <c r="H89" s="202"/>
      <c r="J89" s="200"/>
      <c r="K89" s="214"/>
      <c r="L89" s="202"/>
    </row>
    <row r="90" spans="1:12" ht="12.75">
      <c r="A90" s="206"/>
      <c r="B90" s="192"/>
      <c r="C90" s="193"/>
      <c r="D90" s="194"/>
      <c r="F90" s="199"/>
      <c r="G90" s="228"/>
      <c r="H90" s="191"/>
      <c r="J90" s="199"/>
      <c r="K90" s="216"/>
      <c r="L90" s="191"/>
    </row>
    <row r="91" spans="1:12" ht="12.75">
      <c r="A91" s="207" t="s">
        <v>34</v>
      </c>
      <c r="B91" s="195" t="s">
        <v>12</v>
      </c>
      <c r="C91" s="196">
        <v>1</v>
      </c>
      <c r="D91" s="197">
        <v>1</v>
      </c>
      <c r="F91" s="200">
        <f>0.4257*D91</f>
        <v>0.4257</v>
      </c>
      <c r="G91" s="227">
        <f>0.1333*D91</f>
        <v>0.1333</v>
      </c>
      <c r="H91" s="202">
        <f>((13.33*30/100)/100)*D91</f>
        <v>0.03999</v>
      </c>
      <c r="J91" s="200">
        <f>(H91*600)*(4/5.67)</f>
        <v>16.926984126984127</v>
      </c>
      <c r="K91" s="214" t="s">
        <v>83</v>
      </c>
      <c r="L91" s="202">
        <f>(0.1489*D91)*580</f>
        <v>86.36200000000001</v>
      </c>
    </row>
    <row r="92" spans="1:12" ht="12.75">
      <c r="A92" s="208"/>
      <c r="B92" s="209" t="s">
        <v>13</v>
      </c>
      <c r="C92" s="210">
        <v>16</v>
      </c>
      <c r="D92" s="211">
        <v>2</v>
      </c>
      <c r="F92" s="203"/>
      <c r="G92" s="229"/>
      <c r="H92" s="204"/>
      <c r="J92" s="203"/>
      <c r="K92" s="257"/>
      <c r="L92" s="204"/>
    </row>
    <row r="93" spans="1:12" ht="15">
      <c r="A93" s="149"/>
      <c r="B93" s="151"/>
      <c r="C93" s="152"/>
      <c r="D93" s="152"/>
      <c r="E93" s="97"/>
      <c r="F93" s="190"/>
      <c r="G93" s="190"/>
      <c r="H93" s="190"/>
      <c r="I93" s="97"/>
      <c r="J93" s="21"/>
      <c r="K93" s="21"/>
      <c r="L93" s="21"/>
    </row>
    <row r="94" spans="1:12" ht="15">
      <c r="A94" s="153"/>
      <c r="B94" s="153"/>
      <c r="C94" s="153"/>
      <c r="D94" s="153"/>
      <c r="J94" s="21"/>
      <c r="K94" s="21"/>
      <c r="L94" s="21"/>
    </row>
    <row r="95" spans="1:4" ht="15">
      <c r="A95" s="153" t="s">
        <v>35</v>
      </c>
      <c r="B95" s="186" t="s">
        <v>36</v>
      </c>
      <c r="C95" s="153"/>
      <c r="D95" s="153"/>
    </row>
    <row r="96" spans="1:6" ht="15">
      <c r="A96" s="153"/>
      <c r="B96" s="186" t="s">
        <v>37</v>
      </c>
      <c r="C96" s="153"/>
      <c r="D96" s="153"/>
      <c r="F96" s="9" t="s">
        <v>239</v>
      </c>
    </row>
  </sheetData>
  <mergeCells count="4">
    <mergeCell ref="A1:L2"/>
    <mergeCell ref="A3:L4"/>
    <mergeCell ref="J6:L6"/>
    <mergeCell ref="F7:H7"/>
  </mergeCells>
  <hyperlinks>
    <hyperlink ref="B96" r:id="rId1" display="ftp://ftp.fao.org/fi/stat/summary/a-5.pdf"/>
    <hyperlink ref="B95" r:id="rId2" display="ftp://ftp.fao.org/FI/CDrom/CD_yearbook_2008/navigation/index_content_aquaculture_e.htm"/>
  </hyperlinks>
  <printOptions/>
  <pageMargins left="0.7" right="0.7" top="0.75" bottom="0.75" header="0.3" footer="0.3"/>
  <pageSetup orientation="portrait" paperSize="9"/>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74"/>
  <sheetViews>
    <sheetView zoomScale="90" zoomScaleNormal="90" zoomScalePageLayoutView="90" workbookViewId="0" topLeftCell="A1">
      <selection activeCell="P7" sqref="P7"/>
    </sheetView>
  </sheetViews>
  <sheetFormatPr defaultColWidth="11.00390625" defaultRowHeight="12.75"/>
  <cols>
    <col min="1" max="1" width="21.00390625" style="0" customWidth="1"/>
    <col min="2" max="2" width="9.625" style="0" customWidth="1"/>
    <col min="3" max="3" width="9.375" style="0" customWidth="1"/>
    <col min="4" max="4" width="9.75390625" style="0" customWidth="1"/>
    <col min="5" max="5" width="5.50390625" style="0" customWidth="1"/>
    <col min="6" max="6" width="14.125" style="0" bestFit="1" customWidth="1"/>
    <col min="7" max="7" width="11.625" style="0" bestFit="1" customWidth="1"/>
    <col min="8" max="8" width="10.375" style="0" bestFit="1" customWidth="1"/>
    <col min="9" max="9" width="3.875" style="0" customWidth="1"/>
    <col min="10" max="10" width="16.875" style="0" customWidth="1"/>
    <col min="11" max="11" width="13.125" style="0" customWidth="1"/>
    <col min="12" max="12" width="3.625" style="0" customWidth="1"/>
    <col min="13" max="13" width="17.375" style="0" bestFit="1" customWidth="1"/>
    <col min="14" max="15" width="18.00390625" style="0" customWidth="1"/>
    <col min="16" max="16" width="22.00390625" style="0" customWidth="1"/>
  </cols>
  <sheetData>
    <row r="1" ht="12.75">
      <c r="E1" s="250"/>
    </row>
    <row r="2" spans="1:16" ht="12.75" customHeight="1">
      <c r="A2" s="164"/>
      <c r="B2" s="164"/>
      <c r="C2" s="164"/>
      <c r="D2" s="164"/>
      <c r="E2" s="174"/>
      <c r="F2" s="164"/>
      <c r="G2" s="164"/>
      <c r="H2" s="164"/>
      <c r="I2" s="164"/>
      <c r="J2" s="156"/>
      <c r="K2" s="156"/>
      <c r="L2" s="156"/>
      <c r="M2" s="258" t="s">
        <v>84</v>
      </c>
      <c r="N2" s="259"/>
      <c r="O2" s="259"/>
      <c r="P2" s="260"/>
    </row>
    <row r="3" spans="1:16" ht="15">
      <c r="A3" s="259" t="s">
        <v>231</v>
      </c>
      <c r="B3" s="259"/>
      <c r="C3" s="259"/>
      <c r="D3" s="260"/>
      <c r="E3" s="167"/>
      <c r="F3" s="258" t="s">
        <v>76</v>
      </c>
      <c r="G3" s="259"/>
      <c r="H3" s="260"/>
      <c r="I3" s="167"/>
      <c r="J3" s="261" t="s">
        <v>104</v>
      </c>
      <c r="K3" s="261"/>
      <c r="L3" s="167"/>
      <c r="M3" s="168"/>
      <c r="N3" s="169"/>
      <c r="O3" s="170"/>
      <c r="P3" s="219" t="s">
        <v>86</v>
      </c>
    </row>
    <row r="4" spans="1:16" ht="15">
      <c r="A4" s="175" t="s">
        <v>74</v>
      </c>
      <c r="B4" s="175" t="s">
        <v>75</v>
      </c>
      <c r="C4" s="175">
        <v>2006</v>
      </c>
      <c r="D4" s="176">
        <v>2007</v>
      </c>
      <c r="E4" s="251"/>
      <c r="F4" s="177" t="s">
        <v>39</v>
      </c>
      <c r="G4" s="177" t="s">
        <v>40</v>
      </c>
      <c r="H4" s="177" t="s">
        <v>41</v>
      </c>
      <c r="I4" s="223"/>
      <c r="J4" s="158" t="s">
        <v>74</v>
      </c>
      <c r="K4" s="158" t="s">
        <v>105</v>
      </c>
      <c r="L4" s="223"/>
      <c r="M4" s="178" t="s">
        <v>74</v>
      </c>
      <c r="N4" s="159" t="s">
        <v>226</v>
      </c>
      <c r="O4" s="179" t="s">
        <v>227</v>
      </c>
      <c r="P4" s="159" t="s">
        <v>236</v>
      </c>
    </row>
    <row r="5" spans="1:16" ht="25.5">
      <c r="A5" s="19" t="s">
        <v>219</v>
      </c>
      <c r="B5" s="19" t="s">
        <v>149</v>
      </c>
      <c r="C5" s="20">
        <v>20236351</v>
      </c>
      <c r="D5" s="13">
        <v>48383218</v>
      </c>
      <c r="E5" s="249"/>
      <c r="F5" s="14" t="s">
        <v>66</v>
      </c>
      <c r="G5" s="15" t="s">
        <v>66</v>
      </c>
      <c r="H5" s="35">
        <f>0.41*D5</f>
        <v>19837119.38</v>
      </c>
      <c r="I5" s="31"/>
      <c r="J5" s="79" t="s">
        <v>219</v>
      </c>
      <c r="K5" s="60">
        <v>19837119.38</v>
      </c>
      <c r="L5" s="31"/>
      <c r="M5" s="88" t="str">
        <f aca="true" t="shared" si="0" ref="M5:M26">A5</f>
        <v>Sugar Cane</v>
      </c>
      <c r="N5" s="56">
        <f>(H5*600)*(4/5.67)</f>
        <v>8396664287.8306875</v>
      </c>
      <c r="O5" s="118">
        <f>(0.001*D5)*13585</f>
        <v>657286016.53</v>
      </c>
      <c r="P5" s="70">
        <f>(0.02*D5)*580</f>
        <v>561245328.8</v>
      </c>
    </row>
    <row r="6" spans="1:16" ht="25.5">
      <c r="A6" s="19" t="s">
        <v>179</v>
      </c>
      <c r="B6" s="19" t="s">
        <v>149</v>
      </c>
      <c r="C6" s="20">
        <v>10090212</v>
      </c>
      <c r="D6" s="13">
        <v>11132247</v>
      </c>
      <c r="E6" s="249"/>
      <c r="F6" s="30">
        <f>0.1355*D6</f>
        <v>1508419.4685000002</v>
      </c>
      <c r="G6" s="31">
        <f>0.1235*D6</f>
        <v>1374832.5045</v>
      </c>
      <c r="H6" s="29">
        <f>0.7177*D6</f>
        <v>7989613.6719</v>
      </c>
      <c r="I6" s="31"/>
      <c r="J6" s="80" t="s">
        <v>179</v>
      </c>
      <c r="K6" s="63">
        <v>7989613.67</v>
      </c>
      <c r="L6" s="31"/>
      <c r="M6" s="88" t="str">
        <f t="shared" si="0"/>
        <v>Maize</v>
      </c>
      <c r="N6" s="56">
        <f aca="true" t="shared" si="1" ref="N6:N19">(H6*600)*(4/5.67)</f>
        <v>3381847056.888889</v>
      </c>
      <c r="O6" s="148">
        <f>(0.035*D6)*13585</f>
        <v>5293105142.325</v>
      </c>
      <c r="P6" s="70">
        <f>(0.0945*D6)*580</f>
        <v>610158458.07</v>
      </c>
    </row>
    <row r="7" spans="1:16" ht="25.5">
      <c r="A7" s="19" t="s">
        <v>157</v>
      </c>
      <c r="B7" s="19" t="s">
        <v>149</v>
      </c>
      <c r="C7" s="20">
        <v>3902269</v>
      </c>
      <c r="D7" s="13">
        <v>3784617</v>
      </c>
      <c r="E7" s="249"/>
      <c r="F7" s="16" t="s">
        <v>66</v>
      </c>
      <c r="G7" s="17" t="s">
        <v>66</v>
      </c>
      <c r="H7" s="29">
        <f>0.14*D7</f>
        <v>529846.38</v>
      </c>
      <c r="I7" s="31"/>
      <c r="J7" s="81" t="s">
        <v>203</v>
      </c>
      <c r="K7" s="82">
        <v>882362.54</v>
      </c>
      <c r="L7" s="31"/>
      <c r="M7" s="88" t="str">
        <f t="shared" si="0"/>
        <v>Cassava</v>
      </c>
      <c r="N7" s="56">
        <f t="shared" si="1"/>
        <v>224273600</v>
      </c>
      <c r="O7" s="148" t="s">
        <v>83</v>
      </c>
      <c r="P7" s="70">
        <f>(0.035*D7)*580</f>
        <v>76827725.1</v>
      </c>
    </row>
    <row r="8" spans="1:16" ht="25.5">
      <c r="A8" s="19" t="s">
        <v>198</v>
      </c>
      <c r="B8" s="19" t="s">
        <v>149</v>
      </c>
      <c r="C8" s="20">
        <v>3630922</v>
      </c>
      <c r="D8" s="13">
        <v>3650052</v>
      </c>
      <c r="E8" s="249"/>
      <c r="F8" s="16" t="s">
        <v>66</v>
      </c>
      <c r="G8" s="17" t="s">
        <v>66</v>
      </c>
      <c r="H8" s="29">
        <f>0.096*D8</f>
        <v>350404.992</v>
      </c>
      <c r="I8" s="31"/>
      <c r="J8" s="80" t="s">
        <v>53</v>
      </c>
      <c r="K8" s="63">
        <v>848038.73</v>
      </c>
      <c r="L8" s="31"/>
      <c r="M8" s="88" t="str">
        <f t="shared" si="0"/>
        <v>Potatoes</v>
      </c>
      <c r="N8" s="56">
        <f t="shared" si="1"/>
        <v>148319573.33333334</v>
      </c>
      <c r="O8" s="148">
        <f>(0.096*D8)*13585</f>
        <v>4760251816.320001</v>
      </c>
      <c r="P8" s="70">
        <f>(0.0225*D8)*580</f>
        <v>47633178.6</v>
      </c>
    </row>
    <row r="9" spans="1:16" ht="25.5">
      <c r="A9" s="19" t="s">
        <v>189</v>
      </c>
      <c r="B9" s="19" t="s">
        <v>149</v>
      </c>
      <c r="C9" s="20">
        <v>3315707</v>
      </c>
      <c r="D9" s="13">
        <v>3378719</v>
      </c>
      <c r="E9" s="249"/>
      <c r="F9" s="30">
        <f>0.643*D9</f>
        <v>2172516.3170000003</v>
      </c>
      <c r="G9" s="31">
        <f>0.54*D9</f>
        <v>1824508.26</v>
      </c>
      <c r="H9" s="29">
        <f>0.188*D9</f>
        <v>635199.172</v>
      </c>
      <c r="I9" s="31"/>
      <c r="J9" s="80" t="s">
        <v>189</v>
      </c>
      <c r="K9" s="63">
        <v>635199.17</v>
      </c>
      <c r="L9" s="31"/>
      <c r="M9" s="88" t="str">
        <f t="shared" si="0"/>
        <v>Oranges, Mandarines</v>
      </c>
      <c r="N9" s="56">
        <f t="shared" si="1"/>
        <v>268867374.3915344</v>
      </c>
      <c r="O9" s="148">
        <f>(0.117*D9)*13585</f>
        <v>5370288020.955</v>
      </c>
      <c r="P9" s="70">
        <f>(0.0558*D9)*580</f>
        <v>109348861.716</v>
      </c>
    </row>
    <row r="10" spans="1:16" ht="25.5">
      <c r="A10" s="19" t="s">
        <v>203</v>
      </c>
      <c r="B10" s="19" t="s">
        <v>149</v>
      </c>
      <c r="C10" s="20">
        <v>2394070</v>
      </c>
      <c r="D10" s="13">
        <v>2576241</v>
      </c>
      <c r="E10" s="249"/>
      <c r="F10" s="16" t="s">
        <v>66</v>
      </c>
      <c r="G10" s="17" t="s">
        <v>66</v>
      </c>
      <c r="H10" s="29">
        <f>0.3425*D10</f>
        <v>882362.5425000001</v>
      </c>
      <c r="I10" s="31"/>
      <c r="J10" s="80" t="s">
        <v>202</v>
      </c>
      <c r="K10" s="63">
        <v>588535.9</v>
      </c>
      <c r="L10" s="31"/>
      <c r="M10" s="88" t="str">
        <f t="shared" si="0"/>
        <v>Rice (Paddy Equivalent)</v>
      </c>
      <c r="N10" s="56">
        <f t="shared" si="1"/>
        <v>373486790.4761905</v>
      </c>
      <c r="O10" s="148">
        <f>(0.031*D10)*13585</f>
        <v>1084945253.535</v>
      </c>
      <c r="P10" s="70">
        <f>(0.0369*D10)*580</f>
        <v>55136709.882</v>
      </c>
    </row>
    <row r="11" spans="1:16" ht="25.5">
      <c r="A11" s="19" t="s">
        <v>53</v>
      </c>
      <c r="B11" s="19" t="s">
        <v>149</v>
      </c>
      <c r="C11" s="20">
        <v>2343006</v>
      </c>
      <c r="D11" s="13">
        <v>2402376</v>
      </c>
      <c r="E11" s="249"/>
      <c r="F11" s="16" t="s">
        <v>66</v>
      </c>
      <c r="G11" s="17" t="s">
        <v>66</v>
      </c>
      <c r="H11" s="29">
        <f>0.353*D11</f>
        <v>848038.728</v>
      </c>
      <c r="I11" s="31"/>
      <c r="J11" s="80" t="s">
        <v>157</v>
      </c>
      <c r="K11" s="63">
        <v>529846.38</v>
      </c>
      <c r="L11" s="31"/>
      <c r="M11" s="88" t="str">
        <f t="shared" si="0"/>
        <v>Wheat</v>
      </c>
      <c r="N11" s="56">
        <f t="shared" si="1"/>
        <v>358958191.74603176</v>
      </c>
      <c r="O11" s="148">
        <f>(0.05*D11)*13585</f>
        <v>1631813898</v>
      </c>
      <c r="P11" s="70">
        <f>(0.0233*D11)*580</f>
        <v>32465709.264000002</v>
      </c>
    </row>
    <row r="12" spans="1:16" ht="25.5">
      <c r="A12" s="19" t="s">
        <v>151</v>
      </c>
      <c r="B12" s="19" t="s">
        <v>149</v>
      </c>
      <c r="C12" s="20">
        <v>2202830</v>
      </c>
      <c r="D12" s="13">
        <v>2126014</v>
      </c>
      <c r="E12" s="249"/>
      <c r="F12" s="30">
        <f>0.5025*D12</f>
        <v>1068322.035</v>
      </c>
      <c r="G12" s="17" t="s">
        <v>66</v>
      </c>
      <c r="H12" s="29">
        <f>0.095*D12</f>
        <v>201971.33000000002</v>
      </c>
      <c r="I12" s="31"/>
      <c r="J12" s="80" t="s">
        <v>213</v>
      </c>
      <c r="K12" s="63">
        <v>484282.92</v>
      </c>
      <c r="L12" s="31"/>
      <c r="M12" s="88" t="str">
        <f t="shared" si="0"/>
        <v>Bananas</v>
      </c>
      <c r="N12" s="56">
        <f t="shared" si="1"/>
        <v>85490510.05291006</v>
      </c>
      <c r="O12" s="148">
        <f>(0.1735*D12)*13585</f>
        <v>5011009682.964999</v>
      </c>
      <c r="P12" s="70">
        <f>(0.086*D12)*580</f>
        <v>106045578.32</v>
      </c>
    </row>
    <row r="13" spans="1:16" ht="25.5">
      <c r="A13" s="19" t="s">
        <v>51</v>
      </c>
      <c r="B13" s="19" t="s">
        <v>149</v>
      </c>
      <c r="C13" s="20">
        <v>1835334</v>
      </c>
      <c r="D13" s="13">
        <v>1955014</v>
      </c>
      <c r="E13" s="249"/>
      <c r="F13" s="30">
        <f>0.7873*D13</f>
        <v>1539182.5222</v>
      </c>
      <c r="G13" s="31">
        <f>0.7152*D13</f>
        <v>1398226.0128</v>
      </c>
      <c r="H13" s="29">
        <f>0.197*D13</f>
        <v>385137.75800000003</v>
      </c>
      <c r="I13" s="31"/>
      <c r="J13" s="80" t="s">
        <v>110</v>
      </c>
      <c r="K13" s="63">
        <v>390204.76</v>
      </c>
      <c r="L13" s="31"/>
      <c r="M13" s="88" t="str">
        <f t="shared" si="0"/>
        <v>Tomatoes</v>
      </c>
      <c r="N13" s="56">
        <f t="shared" si="1"/>
        <v>163021273.22751322</v>
      </c>
      <c r="O13" s="148">
        <f>(0.097*D13)*13585</f>
        <v>2576209923.4300003</v>
      </c>
      <c r="P13" s="70">
        <f>(0.1101*D13)*580</f>
        <v>124843284.01200001</v>
      </c>
    </row>
    <row r="14" spans="1:16" ht="25.5">
      <c r="A14" s="19" t="s">
        <v>202</v>
      </c>
      <c r="B14" s="19" t="s">
        <v>149</v>
      </c>
      <c r="C14" s="20">
        <v>1596845</v>
      </c>
      <c r="D14" s="13">
        <v>1718353</v>
      </c>
      <c r="E14" s="249"/>
      <c r="F14" s="16" t="s">
        <v>66</v>
      </c>
      <c r="G14" s="17" t="s">
        <v>66</v>
      </c>
      <c r="H14" s="29">
        <f>0.3425*D14</f>
        <v>588535.9025000001</v>
      </c>
      <c r="I14" s="31"/>
      <c r="J14" s="80" t="s">
        <v>51</v>
      </c>
      <c r="K14" s="63">
        <v>385137.76</v>
      </c>
      <c r="L14" s="31"/>
      <c r="M14" s="88" t="str">
        <f t="shared" si="0"/>
        <v>Rice (Milled Equivalent)</v>
      </c>
      <c r="N14" s="56">
        <f t="shared" si="1"/>
        <v>249115725.92592594</v>
      </c>
      <c r="O14" s="148">
        <f>(0.031*D14)*13585</f>
        <v>723658590.655</v>
      </c>
      <c r="P14" s="70">
        <f>(0.0369*D14)*580</f>
        <v>36776190.906</v>
      </c>
    </row>
    <row r="15" spans="1:16" ht="25.5">
      <c r="A15" s="19" t="s">
        <v>196</v>
      </c>
      <c r="B15" s="19" t="s">
        <v>149</v>
      </c>
      <c r="C15" s="20">
        <v>1365177</v>
      </c>
      <c r="D15" s="13">
        <v>1422136</v>
      </c>
      <c r="E15" s="249"/>
      <c r="F15" s="16" t="s">
        <v>66</v>
      </c>
      <c r="G15" s="17" t="s">
        <v>66</v>
      </c>
      <c r="H15" s="29">
        <f>0.1073*D15</f>
        <v>152595.19280000002</v>
      </c>
      <c r="I15" s="31"/>
      <c r="J15" s="80" t="s">
        <v>198</v>
      </c>
      <c r="K15" s="63">
        <v>350404.99</v>
      </c>
      <c r="L15" s="31"/>
      <c r="M15" s="88" t="str">
        <f t="shared" si="0"/>
        <v>Pineapples</v>
      </c>
      <c r="N15" s="56">
        <f t="shared" si="1"/>
        <v>64590557.7989418</v>
      </c>
      <c r="O15" s="148">
        <f>(0.035*D15)*13585</f>
        <v>676190114.6</v>
      </c>
      <c r="P15" s="70">
        <f>(0.0245*D15)*580</f>
        <v>20208552.560000002</v>
      </c>
    </row>
    <row r="16" spans="1:16" ht="25.5">
      <c r="A16" s="19" t="s">
        <v>197</v>
      </c>
      <c r="B16" s="19" t="s">
        <v>149</v>
      </c>
      <c r="C16" s="20">
        <v>1267452</v>
      </c>
      <c r="D16" s="13">
        <v>1294898</v>
      </c>
      <c r="E16" s="249"/>
      <c r="F16" s="16" t="s">
        <v>66</v>
      </c>
      <c r="G16" s="17" t="s">
        <v>66</v>
      </c>
      <c r="H16" s="29">
        <f>0.069*D16</f>
        <v>89347.96200000001</v>
      </c>
      <c r="I16" s="31"/>
      <c r="J16" s="80" t="s">
        <v>150</v>
      </c>
      <c r="K16" s="63">
        <v>266795.81</v>
      </c>
      <c r="L16" s="31"/>
      <c r="M16" s="88" t="str">
        <f t="shared" si="0"/>
        <v>Plantains</v>
      </c>
      <c r="N16" s="56">
        <f t="shared" si="1"/>
        <v>37819243.17460318</v>
      </c>
      <c r="O16" s="148">
        <f>(0.1765*D16)*13585</f>
        <v>3104844916.7449994</v>
      </c>
      <c r="P16" s="70">
        <f>(0.1182*D16)*580</f>
        <v>88773027.288</v>
      </c>
    </row>
    <row r="17" spans="1:16" ht="25.5">
      <c r="A17" s="19" t="s">
        <v>213</v>
      </c>
      <c r="B17" s="19" t="s">
        <v>149</v>
      </c>
      <c r="C17" s="20">
        <v>2629156</v>
      </c>
      <c r="D17" s="13">
        <v>1100643</v>
      </c>
      <c r="E17" s="249"/>
      <c r="F17" s="16" t="s">
        <v>66</v>
      </c>
      <c r="G17" s="17" t="s">
        <v>66</v>
      </c>
      <c r="H17" s="29">
        <f>0.44*D17</f>
        <v>484282.92</v>
      </c>
      <c r="I17" s="31"/>
      <c r="J17" s="80" t="s">
        <v>171</v>
      </c>
      <c r="K17" s="63">
        <v>263236.35</v>
      </c>
      <c r="L17" s="31"/>
      <c r="M17" s="88" t="str">
        <f t="shared" si="0"/>
        <v>Soyabeans</v>
      </c>
      <c r="N17" s="56">
        <f t="shared" si="1"/>
        <v>204987479.36507934</v>
      </c>
      <c r="O17" s="148" t="s">
        <v>83</v>
      </c>
      <c r="P17" s="70">
        <f>(0.1624*D17)*580</f>
        <v>103671765.456</v>
      </c>
    </row>
    <row r="18" spans="1:16" ht="25.5">
      <c r="A18" s="19" t="s">
        <v>171</v>
      </c>
      <c r="B18" s="19" t="s">
        <v>149</v>
      </c>
      <c r="C18" s="20">
        <v>359957</v>
      </c>
      <c r="D18" s="13">
        <v>954360</v>
      </c>
      <c r="E18" s="249"/>
      <c r="F18" s="16" t="s">
        <v>79</v>
      </c>
      <c r="G18" s="17" t="s">
        <v>79</v>
      </c>
      <c r="H18" s="29">
        <f>0.275825*D18</f>
        <v>263236.347</v>
      </c>
      <c r="I18" s="31"/>
      <c r="J18" s="80" t="s">
        <v>211</v>
      </c>
      <c r="K18" s="63">
        <v>235018.98</v>
      </c>
      <c r="L18" s="31"/>
      <c r="M18" s="88" t="str">
        <f t="shared" si="0"/>
        <v>Grapes</v>
      </c>
      <c r="N18" s="56">
        <f t="shared" si="1"/>
        <v>111422792.38095239</v>
      </c>
      <c r="O18" s="148">
        <f>(0.0362*D18)*13585</f>
        <v>469332297.72</v>
      </c>
      <c r="P18" s="70">
        <f>(0.0975*D18)*580</f>
        <v>53969058</v>
      </c>
    </row>
    <row r="19" spans="1:16" ht="25.5">
      <c r="A19" s="19" t="s">
        <v>212</v>
      </c>
      <c r="B19" s="19" t="s">
        <v>149</v>
      </c>
      <c r="C19" s="20">
        <v>900939</v>
      </c>
      <c r="D19" s="13">
        <v>886829</v>
      </c>
      <c r="E19" s="249"/>
      <c r="F19" s="16" t="s">
        <v>66</v>
      </c>
      <c r="G19" s="17" t="s">
        <v>66</v>
      </c>
      <c r="H19" s="29">
        <f>0.44*D19</f>
        <v>390204.76</v>
      </c>
      <c r="I19" s="31"/>
      <c r="J19" s="80" t="s">
        <v>232</v>
      </c>
      <c r="K19" s="63">
        <v>199422.67</v>
      </c>
      <c r="L19" s="31"/>
      <c r="M19" s="88" t="str">
        <f t="shared" si="0"/>
        <v>Soyabean Oil</v>
      </c>
      <c r="N19" s="56">
        <f t="shared" si="1"/>
        <v>165166035.97883597</v>
      </c>
      <c r="O19" s="148" t="s">
        <v>83</v>
      </c>
      <c r="P19" s="70">
        <f>(0.02*D19)*580</f>
        <v>10287216.4</v>
      </c>
    </row>
    <row r="20" spans="1:16" ht="25.5">
      <c r="A20" s="19" t="s">
        <v>188</v>
      </c>
      <c r="B20" s="19" t="s">
        <v>149</v>
      </c>
      <c r="C20" s="20">
        <v>721078</v>
      </c>
      <c r="D20" s="13">
        <v>759218</v>
      </c>
      <c r="E20" s="249"/>
      <c r="F20" s="30">
        <f>0.3469*D20</f>
        <v>263372.7242</v>
      </c>
      <c r="G20" s="31">
        <f>0.295*D20</f>
        <v>223969.31</v>
      </c>
      <c r="H20" s="92">
        <f>((29.5*30/100)/100)*D20</f>
        <v>67190.79299999999</v>
      </c>
      <c r="I20" s="17"/>
      <c r="J20" s="80" t="s">
        <v>196</v>
      </c>
      <c r="K20" s="63">
        <v>152595.19</v>
      </c>
      <c r="L20" s="17"/>
      <c r="M20" s="88" t="str">
        <f t="shared" si="0"/>
        <v>Onions</v>
      </c>
      <c r="N20" s="57" t="s">
        <v>83</v>
      </c>
      <c r="O20" s="148" t="s">
        <v>83</v>
      </c>
      <c r="P20" s="70">
        <f>(0.0398*D20)*580</f>
        <v>17525788.312</v>
      </c>
    </row>
    <row r="21" spans="1:16" ht="25.5">
      <c r="A21" s="19" t="s">
        <v>150</v>
      </c>
      <c r="B21" s="19" t="s">
        <v>149</v>
      </c>
      <c r="C21" s="20">
        <v>591636</v>
      </c>
      <c r="D21" s="13">
        <v>611917</v>
      </c>
      <c r="E21" s="249"/>
      <c r="F21" s="30">
        <f>0.7623*D21</f>
        <v>466464.3291</v>
      </c>
      <c r="G21" s="31">
        <f>0.6733*D21</f>
        <v>412003.7161</v>
      </c>
      <c r="H21" s="29">
        <f>0.436*D21</f>
        <v>266795.812</v>
      </c>
      <c r="I21" s="31"/>
      <c r="J21" s="80" t="s">
        <v>178</v>
      </c>
      <c r="K21" s="63">
        <v>143871.12</v>
      </c>
      <c r="L21" s="31"/>
      <c r="M21" s="88" t="str">
        <f t="shared" si="0"/>
        <v>Apples</v>
      </c>
      <c r="N21" s="56">
        <f>(H21*600)*(4/5.67)</f>
        <v>112929444.23280422</v>
      </c>
      <c r="O21" s="148">
        <f>(0.117*D21)*13585</f>
        <v>972608416.065</v>
      </c>
      <c r="P21" s="70">
        <f>(0.0348*D21)*580</f>
        <v>12350932.728</v>
      </c>
    </row>
    <row r="22" spans="1:16" ht="25.5">
      <c r="A22" s="19" t="s">
        <v>178</v>
      </c>
      <c r="B22" s="19" t="s">
        <v>149</v>
      </c>
      <c r="C22" s="20">
        <v>553091</v>
      </c>
      <c r="D22" s="13">
        <v>599463</v>
      </c>
      <c r="E22" s="249"/>
      <c r="F22" s="30">
        <f>0.642*D22</f>
        <v>384855.246</v>
      </c>
      <c r="G22" s="31">
        <f>0.5564*D22</f>
        <v>333541.2132</v>
      </c>
      <c r="H22" s="29">
        <f>0.24*D22</f>
        <v>143871.12</v>
      </c>
      <c r="I22" s="31"/>
      <c r="J22" s="80" t="s">
        <v>197</v>
      </c>
      <c r="K22" s="63">
        <v>89347.96</v>
      </c>
      <c r="L22" s="31"/>
      <c r="M22" s="88" t="str">
        <f t="shared" si="0"/>
        <v>Lemons, Limes</v>
      </c>
      <c r="N22" s="56">
        <f aca="true" t="shared" si="2" ref="N22:N25">(H22*600)*(4/5.67)</f>
        <v>60897828.57142857</v>
      </c>
      <c r="O22" s="148">
        <f>(0.035*D22)*13585</f>
        <v>285029669.925</v>
      </c>
      <c r="P22" s="70">
        <f>(0.0761*D22)*580</f>
        <v>26459097.893999998</v>
      </c>
    </row>
    <row r="23" spans="1:16" ht="25.5">
      <c r="A23" s="19" t="s">
        <v>163</v>
      </c>
      <c r="B23" s="19" t="s">
        <v>149</v>
      </c>
      <c r="C23" s="20">
        <v>393528</v>
      </c>
      <c r="D23" s="13">
        <v>385584</v>
      </c>
      <c r="E23" s="249"/>
      <c r="F23" s="30">
        <f>0.8462*D23</f>
        <v>326281.1808</v>
      </c>
      <c r="G23" s="17" t="s">
        <v>66</v>
      </c>
      <c r="H23" s="18">
        <f>0.198*D23</f>
        <v>76345.632</v>
      </c>
      <c r="I23" s="17"/>
      <c r="J23" s="80" t="s">
        <v>111</v>
      </c>
      <c r="K23" s="63">
        <v>76345.63</v>
      </c>
      <c r="L23" s="17"/>
      <c r="M23" s="88" t="str">
        <f t="shared" si="0"/>
        <v>Coconuts - Incl Copra</v>
      </c>
      <c r="N23" s="56">
        <f t="shared" si="2"/>
        <v>32315611.428571425</v>
      </c>
      <c r="O23" s="148" t="s">
        <v>83</v>
      </c>
      <c r="P23" s="70">
        <f>(0.02*D23)*580</f>
        <v>4472774.4</v>
      </c>
    </row>
    <row r="24" spans="1:16" ht="25.5">
      <c r="A24" s="19" t="s">
        <v>211</v>
      </c>
      <c r="B24" s="19" t="s">
        <v>149</v>
      </c>
      <c r="C24" s="20">
        <v>344094</v>
      </c>
      <c r="D24" s="13">
        <v>361846</v>
      </c>
      <c r="E24" s="249"/>
      <c r="F24" s="16" t="s">
        <v>66</v>
      </c>
      <c r="G24" s="17" t="s">
        <v>66</v>
      </c>
      <c r="H24" s="29">
        <f>0.6495*D24</f>
        <v>235018.97699999998</v>
      </c>
      <c r="I24" s="31"/>
      <c r="J24" s="93" t="s">
        <v>233</v>
      </c>
      <c r="K24" s="67">
        <v>3769.4</v>
      </c>
      <c r="L24" s="31"/>
      <c r="M24" s="88" t="str">
        <f t="shared" si="0"/>
        <v>Sorghum</v>
      </c>
      <c r="N24" s="56">
        <f t="shared" si="2"/>
        <v>99478932.06349204</v>
      </c>
      <c r="O24" s="148" t="s">
        <v>83</v>
      </c>
      <c r="P24" s="70">
        <f>(0.122*D24)*580</f>
        <v>25604222.96</v>
      </c>
    </row>
    <row r="25" spans="1:16" ht="25.5">
      <c r="A25" s="19" t="s">
        <v>201</v>
      </c>
      <c r="B25" s="19" t="s">
        <v>149</v>
      </c>
      <c r="C25" s="20">
        <v>323896</v>
      </c>
      <c r="D25" s="13">
        <v>327513</v>
      </c>
      <c r="E25" s="249"/>
      <c r="F25" s="30" t="s">
        <v>83</v>
      </c>
      <c r="G25" s="31" t="s">
        <v>83</v>
      </c>
      <c r="H25" s="29">
        <f>(0.3659+0.486/2)*D25</f>
        <v>199422.6657</v>
      </c>
      <c r="I25" s="31"/>
      <c r="J25" s="31"/>
      <c r="K25" s="31"/>
      <c r="L25" s="31"/>
      <c r="M25" s="88" t="str">
        <f t="shared" si="0"/>
        <v>Rape and Mustardseed</v>
      </c>
      <c r="N25" s="56">
        <f t="shared" si="2"/>
        <v>84411710.34920634</v>
      </c>
      <c r="O25" s="148" t="s">
        <v>83</v>
      </c>
      <c r="P25" s="70">
        <f>((0.045+0.0303/2)*D25)*580</f>
        <v>11425946.030999998</v>
      </c>
    </row>
    <row r="26" spans="1:16" ht="25.5">
      <c r="A26" s="19" t="s">
        <v>47</v>
      </c>
      <c r="B26" s="19" t="s">
        <v>149</v>
      </c>
      <c r="C26" s="20">
        <v>220681</v>
      </c>
      <c r="D26" s="13">
        <v>230968</v>
      </c>
      <c r="E26" s="249"/>
      <c r="F26" s="32"/>
      <c r="G26" s="33"/>
      <c r="H26" s="34">
        <f>((5.44*30/100)/100)*D26</f>
        <v>3769.3977600000003</v>
      </c>
      <c r="I26" s="31"/>
      <c r="J26" s="31"/>
      <c r="K26" s="31"/>
      <c r="L26" s="31"/>
      <c r="M26" s="89" t="str">
        <f t="shared" si="0"/>
        <v>Sweet Potatoes</v>
      </c>
      <c r="N26" s="119">
        <f>(H26*600)*(4/5.67)</f>
        <v>1595512.2793650792</v>
      </c>
      <c r="O26" s="119">
        <f>(0.0296*D26)*13585</f>
        <v>92875928.28800002</v>
      </c>
      <c r="P26" s="119">
        <f>(0.463*D26)*580</f>
        <v>62024146.720000006</v>
      </c>
    </row>
    <row r="27" spans="1:16" ht="25.5">
      <c r="A27" s="19" t="s">
        <v>153</v>
      </c>
      <c r="B27" s="19" t="s">
        <v>149</v>
      </c>
      <c r="C27" s="20">
        <v>240486</v>
      </c>
      <c r="D27" s="13">
        <v>228145</v>
      </c>
      <c r="E27" s="249"/>
      <c r="F27" s="31"/>
      <c r="G27" s="31"/>
      <c r="H27" s="31"/>
      <c r="I27" s="31"/>
      <c r="J27" s="31"/>
      <c r="K27" s="31"/>
      <c r="L27" s="31"/>
      <c r="M27" s="97"/>
      <c r="N27" s="255"/>
      <c r="O27" s="51"/>
      <c r="P27" s="51"/>
    </row>
    <row r="28" spans="1:16" ht="25.5">
      <c r="A28" s="19" t="s">
        <v>170</v>
      </c>
      <c r="B28" s="19" t="s">
        <v>149</v>
      </c>
      <c r="C28" s="20">
        <v>150113</v>
      </c>
      <c r="D28" s="13">
        <v>157507</v>
      </c>
      <c r="E28" s="249"/>
      <c r="F28" s="31"/>
      <c r="G28" s="31"/>
      <c r="H28" s="31"/>
      <c r="I28" s="31"/>
      <c r="J28" s="31"/>
      <c r="K28" s="31"/>
      <c r="L28" s="31"/>
      <c r="M28" s="97"/>
      <c r="N28" s="255"/>
      <c r="O28" s="51"/>
      <c r="P28" s="51"/>
    </row>
    <row r="29" spans="1:16" ht="25.5">
      <c r="A29" s="19" t="s">
        <v>152</v>
      </c>
      <c r="B29" s="19" t="s">
        <v>149</v>
      </c>
      <c r="C29" s="20">
        <v>146271</v>
      </c>
      <c r="D29" s="13">
        <v>152065</v>
      </c>
      <c r="E29" s="249"/>
      <c r="F29" s="31"/>
      <c r="G29" s="31"/>
      <c r="H29" s="31"/>
      <c r="I29" s="31"/>
      <c r="J29" s="31"/>
      <c r="K29" s="31"/>
      <c r="L29" s="31"/>
      <c r="M29" s="97"/>
      <c r="N29" s="51"/>
      <c r="O29" s="51"/>
      <c r="P29" s="51"/>
    </row>
    <row r="30" spans="1:16" ht="25.5">
      <c r="A30" s="19" t="s">
        <v>221</v>
      </c>
      <c r="B30" s="19" t="s">
        <v>149</v>
      </c>
      <c r="C30" s="20">
        <v>146740</v>
      </c>
      <c r="D30" s="13">
        <v>145230</v>
      </c>
      <c r="E30" s="249"/>
      <c r="F30" s="31"/>
      <c r="G30" s="31"/>
      <c r="H30" s="31"/>
      <c r="I30" s="31"/>
      <c r="J30" s="31"/>
      <c r="K30" s="31"/>
      <c r="L30" s="31"/>
      <c r="M30" s="97"/>
      <c r="N30" s="255"/>
      <c r="O30" s="51"/>
      <c r="P30" s="51"/>
    </row>
    <row r="31" spans="1:16" ht="25.5">
      <c r="A31" s="19" t="s">
        <v>183</v>
      </c>
      <c r="B31" s="19" t="s">
        <v>149</v>
      </c>
      <c r="C31" s="20">
        <v>108271</v>
      </c>
      <c r="D31" s="13">
        <v>141630</v>
      </c>
      <c r="E31" s="249"/>
      <c r="F31" s="31"/>
      <c r="G31" s="31"/>
      <c r="H31" s="31"/>
      <c r="I31" s="31"/>
      <c r="J31" s="31"/>
      <c r="K31" s="31"/>
      <c r="L31" s="31"/>
      <c r="M31" s="97"/>
      <c r="N31" s="255"/>
      <c r="O31" s="51"/>
      <c r="P31" s="51"/>
    </row>
    <row r="32" spans="1:16" ht="25.5">
      <c r="A32" s="19" t="s">
        <v>55</v>
      </c>
      <c r="B32" s="19" t="s">
        <v>149</v>
      </c>
      <c r="C32" s="20">
        <v>118239</v>
      </c>
      <c r="D32" s="13">
        <v>121228</v>
      </c>
      <c r="E32" s="249"/>
      <c r="F32" s="31"/>
      <c r="G32" s="31"/>
      <c r="H32" s="31"/>
      <c r="I32" s="31"/>
      <c r="J32" s="31"/>
      <c r="K32" s="31"/>
      <c r="L32" s="31"/>
      <c r="M32" s="97"/>
      <c r="N32" s="255"/>
      <c r="O32" s="51"/>
      <c r="P32" s="51"/>
    </row>
    <row r="33" spans="1:16" ht="25.5">
      <c r="A33" s="19" t="s">
        <v>215</v>
      </c>
      <c r="B33" s="19" t="s">
        <v>149</v>
      </c>
      <c r="C33" s="20">
        <v>117731</v>
      </c>
      <c r="D33" s="13">
        <v>116856</v>
      </c>
      <c r="E33" s="249"/>
      <c r="F33" s="31"/>
      <c r="G33" s="31"/>
      <c r="H33" s="31"/>
      <c r="I33" s="31"/>
      <c r="J33" s="31"/>
      <c r="K33" s="31"/>
      <c r="L33" s="31"/>
      <c r="M33" s="97"/>
      <c r="N33" s="255"/>
      <c r="O33" s="51"/>
      <c r="P33" s="51"/>
    </row>
    <row r="34" spans="1:16" ht="25.5">
      <c r="A34" s="19" t="s">
        <v>222</v>
      </c>
      <c r="B34" s="19" t="s">
        <v>149</v>
      </c>
      <c r="C34" s="20">
        <v>108313</v>
      </c>
      <c r="D34" s="13">
        <v>107508</v>
      </c>
      <c r="E34" s="249"/>
      <c r="F34" s="31"/>
      <c r="G34" s="31"/>
      <c r="H34" s="31"/>
      <c r="I34" s="31"/>
      <c r="J34" s="31"/>
      <c r="K34" s="31"/>
      <c r="L34" s="31"/>
      <c r="M34" s="97"/>
      <c r="N34" s="255"/>
      <c r="O34" s="51"/>
      <c r="P34" s="51"/>
    </row>
    <row r="35" spans="1:16" ht="25.5">
      <c r="A35" s="19" t="s">
        <v>184</v>
      </c>
      <c r="B35" s="19" t="s">
        <v>149</v>
      </c>
      <c r="C35" s="20">
        <v>62747</v>
      </c>
      <c r="D35" s="13">
        <v>72335</v>
      </c>
      <c r="E35" s="249"/>
      <c r="F35" s="31"/>
      <c r="G35" s="31"/>
      <c r="H35" s="31"/>
      <c r="I35" s="31"/>
      <c r="J35" s="31"/>
      <c r="K35" s="31"/>
      <c r="L35" s="31"/>
      <c r="M35" s="97"/>
      <c r="N35" s="255"/>
      <c r="O35" s="51"/>
      <c r="P35" s="51"/>
    </row>
    <row r="36" spans="1:16" ht="25.5">
      <c r="A36" s="19" t="s">
        <v>193</v>
      </c>
      <c r="B36" s="19" t="s">
        <v>149</v>
      </c>
      <c r="C36" s="20">
        <v>58523</v>
      </c>
      <c r="D36" s="13">
        <v>66991</v>
      </c>
      <c r="E36" s="249"/>
      <c r="F36" s="31"/>
      <c r="G36" s="31"/>
      <c r="H36" s="31"/>
      <c r="I36" s="31"/>
      <c r="J36" s="31"/>
      <c r="K36" s="31"/>
      <c r="L36" s="31"/>
      <c r="M36" s="97"/>
      <c r="N36" s="255"/>
      <c r="O36" s="51"/>
      <c r="P36" s="51"/>
    </row>
    <row r="37" spans="1:16" ht="25.5">
      <c r="A37" s="19" t="s">
        <v>161</v>
      </c>
      <c r="B37" s="19" t="s">
        <v>149</v>
      </c>
      <c r="C37" s="20">
        <v>56278</v>
      </c>
      <c r="D37" s="13">
        <v>65739</v>
      </c>
      <c r="E37" s="249"/>
      <c r="F37" s="31"/>
      <c r="G37" s="31"/>
      <c r="H37" s="31"/>
      <c r="I37" s="31"/>
      <c r="J37" s="31"/>
      <c r="K37" s="31"/>
      <c r="L37" s="31"/>
      <c r="M37" s="97"/>
      <c r="N37" s="255"/>
      <c r="O37" s="51"/>
      <c r="P37" s="51"/>
    </row>
    <row r="38" spans="1:16" ht="25.5">
      <c r="A38" s="19" t="s">
        <v>54</v>
      </c>
      <c r="B38" s="19" t="s">
        <v>149</v>
      </c>
      <c r="C38" s="20">
        <v>144947</v>
      </c>
      <c r="D38" s="13">
        <v>64888</v>
      </c>
      <c r="E38" s="249"/>
      <c r="F38" s="31"/>
      <c r="G38" s="31"/>
      <c r="H38" s="31"/>
      <c r="I38" s="31"/>
      <c r="J38" s="31"/>
      <c r="K38" s="31"/>
      <c r="L38" s="31"/>
      <c r="M38" s="97"/>
      <c r="N38" s="255"/>
      <c r="O38" s="51"/>
      <c r="P38" s="51"/>
    </row>
    <row r="39" spans="1:16" ht="25.5">
      <c r="A39" s="19" t="s">
        <v>173</v>
      </c>
      <c r="B39" s="19" t="s">
        <v>149</v>
      </c>
      <c r="C39" s="20">
        <v>35099</v>
      </c>
      <c r="D39" s="13">
        <v>39682</v>
      </c>
      <c r="E39" s="249"/>
      <c r="F39" s="31"/>
      <c r="G39" s="31"/>
      <c r="H39" s="31"/>
      <c r="I39" s="31"/>
      <c r="J39" s="31"/>
      <c r="K39" s="31"/>
      <c r="L39" s="31"/>
      <c r="M39" s="97"/>
      <c r="N39" s="255"/>
      <c r="O39" s="51"/>
      <c r="P39" s="51"/>
    </row>
    <row r="40" spans="1:16" ht="25.5">
      <c r="A40" s="19" t="s">
        <v>164</v>
      </c>
      <c r="B40" s="19" t="s">
        <v>149</v>
      </c>
      <c r="C40" s="20">
        <v>34415</v>
      </c>
      <c r="D40" s="13">
        <v>37236</v>
      </c>
      <c r="E40" s="249"/>
      <c r="F40" s="31"/>
      <c r="G40" s="31"/>
      <c r="H40" s="31"/>
      <c r="I40" s="31"/>
      <c r="J40" s="31"/>
      <c r="K40" s="31"/>
      <c r="L40" s="31"/>
      <c r="M40" s="97"/>
      <c r="N40" s="255"/>
      <c r="O40" s="51"/>
      <c r="P40" s="51"/>
    </row>
    <row r="41" spans="1:16" ht="25.5">
      <c r="A41" s="19" t="s">
        <v>50</v>
      </c>
      <c r="B41" s="19" t="s">
        <v>149</v>
      </c>
      <c r="C41" s="20">
        <v>30592</v>
      </c>
      <c r="D41" s="13">
        <v>31162</v>
      </c>
      <c r="E41" s="249"/>
      <c r="F41" s="31"/>
      <c r="G41" s="31"/>
      <c r="H41" s="31"/>
      <c r="I41" s="31"/>
      <c r="J41" s="31"/>
      <c r="K41" s="31"/>
      <c r="L41" s="31"/>
      <c r="M41" s="97"/>
      <c r="N41" s="255"/>
      <c r="O41" s="51"/>
      <c r="P41" s="51"/>
    </row>
    <row r="42" spans="1:16" ht="25.5">
      <c r="A42" s="19" t="s">
        <v>49</v>
      </c>
      <c r="B42" s="19" t="s">
        <v>149</v>
      </c>
      <c r="C42" s="20">
        <v>29142</v>
      </c>
      <c r="D42" s="13">
        <v>29519</v>
      </c>
      <c r="E42" s="249"/>
      <c r="F42" s="31"/>
      <c r="G42" s="31"/>
      <c r="H42" s="31"/>
      <c r="I42" s="31"/>
      <c r="J42" s="31"/>
      <c r="K42" s="31"/>
      <c r="L42" s="31"/>
      <c r="M42" s="97"/>
      <c r="N42" s="51"/>
      <c r="O42" s="51"/>
      <c r="P42" s="51"/>
    </row>
    <row r="43" spans="1:16" ht="25.5">
      <c r="A43" s="19" t="s">
        <v>220</v>
      </c>
      <c r="B43" s="19" t="s">
        <v>149</v>
      </c>
      <c r="C43" s="20">
        <v>29009</v>
      </c>
      <c r="D43" s="13">
        <v>28374</v>
      </c>
      <c r="E43" s="249"/>
      <c r="F43" s="31"/>
      <c r="G43" s="31"/>
      <c r="H43" s="31"/>
      <c r="I43" s="31"/>
      <c r="J43" s="31"/>
      <c r="K43" s="31"/>
      <c r="L43" s="31"/>
      <c r="M43" s="97"/>
      <c r="N43" s="52"/>
      <c r="O43" s="52"/>
      <c r="P43" s="52"/>
    </row>
    <row r="44" spans="1:16" ht="25.5">
      <c r="A44" s="19" t="s">
        <v>174</v>
      </c>
      <c r="B44" s="19" t="s">
        <v>149</v>
      </c>
      <c r="C44" s="20">
        <v>24569</v>
      </c>
      <c r="D44" s="13">
        <v>27777</v>
      </c>
      <c r="E44" s="249"/>
      <c r="F44" s="31"/>
      <c r="G44" s="31"/>
      <c r="H44" s="31"/>
      <c r="I44" s="31"/>
      <c r="J44" s="31"/>
      <c r="K44" s="31"/>
      <c r="L44" s="31"/>
      <c r="M44" s="97"/>
      <c r="N44" s="52"/>
      <c r="O44" s="52"/>
      <c r="P44" s="52"/>
    </row>
    <row r="45" spans="1:16" ht="25.5">
      <c r="A45" s="19" t="s">
        <v>187</v>
      </c>
      <c r="B45" s="19" t="s">
        <v>149</v>
      </c>
      <c r="C45" s="20">
        <v>15084</v>
      </c>
      <c r="D45" s="13">
        <v>25338</v>
      </c>
      <c r="E45" s="249"/>
      <c r="F45" s="31"/>
      <c r="G45" s="31"/>
      <c r="H45" s="31"/>
      <c r="I45" s="31"/>
      <c r="J45" s="31"/>
      <c r="K45" s="31"/>
      <c r="L45" s="31"/>
      <c r="M45" s="97"/>
      <c r="N45" s="52"/>
      <c r="O45" s="52"/>
      <c r="P45" s="52"/>
    </row>
    <row r="46" spans="1:16" ht="25.5">
      <c r="A46" s="19" t="s">
        <v>167</v>
      </c>
      <c r="B46" s="19" t="s">
        <v>149</v>
      </c>
      <c r="C46" s="20">
        <v>20959</v>
      </c>
      <c r="D46" s="13">
        <v>23229</v>
      </c>
      <c r="E46" s="249"/>
      <c r="F46" s="31"/>
      <c r="G46" s="31"/>
      <c r="H46" s="31"/>
      <c r="I46" s="31"/>
      <c r="J46" s="31"/>
      <c r="K46" s="31"/>
      <c r="L46" s="31"/>
      <c r="M46" s="97"/>
      <c r="N46" s="52"/>
      <c r="O46" s="52"/>
      <c r="P46" s="52"/>
    </row>
    <row r="47" spans="1:16" ht="25.5">
      <c r="A47" s="19" t="s">
        <v>180</v>
      </c>
      <c r="B47" s="19" t="s">
        <v>149</v>
      </c>
      <c r="C47" s="20">
        <v>18863</v>
      </c>
      <c r="D47" s="13">
        <v>20906</v>
      </c>
      <c r="E47" s="249"/>
      <c r="F47" s="31"/>
      <c r="G47" s="31"/>
      <c r="H47" s="31"/>
      <c r="I47" s="31"/>
      <c r="J47" s="31"/>
      <c r="K47" s="31"/>
      <c r="L47" s="31"/>
      <c r="M47" s="97"/>
      <c r="N47" s="52"/>
      <c r="O47" s="52"/>
      <c r="P47" s="52"/>
    </row>
    <row r="48" spans="1:16" ht="25.5">
      <c r="A48" s="19" t="s">
        <v>159</v>
      </c>
      <c r="B48" s="19" t="s">
        <v>149</v>
      </c>
      <c r="C48" s="20">
        <v>17180</v>
      </c>
      <c r="D48" s="13">
        <v>20815</v>
      </c>
      <c r="E48" s="249"/>
      <c r="F48" s="31"/>
      <c r="G48" s="31"/>
      <c r="H48" s="31"/>
      <c r="I48" s="31"/>
      <c r="J48" s="31"/>
      <c r="K48" s="31"/>
      <c r="L48" s="31"/>
      <c r="M48" s="97"/>
      <c r="N48" s="51"/>
      <c r="O48" s="51"/>
      <c r="P48" s="51"/>
    </row>
    <row r="49" spans="1:16" ht="25.5">
      <c r="A49" s="19" t="s">
        <v>185</v>
      </c>
      <c r="B49" s="19" t="s">
        <v>149</v>
      </c>
      <c r="C49" s="20">
        <v>17167</v>
      </c>
      <c r="D49" s="13">
        <v>19636</v>
      </c>
      <c r="E49" s="249"/>
      <c r="F49" s="31"/>
      <c r="G49" s="31"/>
      <c r="H49" s="31"/>
      <c r="I49" s="31"/>
      <c r="J49" s="31"/>
      <c r="K49" s="31"/>
      <c r="L49" s="31"/>
      <c r="M49" s="97"/>
      <c r="N49" s="52"/>
      <c r="O49" s="52"/>
      <c r="P49" s="52"/>
    </row>
    <row r="50" spans="1:16" ht="25.5">
      <c r="A50" s="19" t="s">
        <v>209</v>
      </c>
      <c r="B50" s="19" t="s">
        <v>149</v>
      </c>
      <c r="C50" s="20">
        <v>19849</v>
      </c>
      <c r="D50" s="13">
        <v>19631</v>
      </c>
      <c r="E50" s="249"/>
      <c r="F50" s="31"/>
      <c r="G50" s="31"/>
      <c r="H50" s="31"/>
      <c r="I50" s="31"/>
      <c r="J50" s="31"/>
      <c r="K50" s="31"/>
      <c r="L50" s="31"/>
      <c r="M50" s="97"/>
      <c r="N50" s="52"/>
      <c r="O50" s="52"/>
      <c r="P50" s="52"/>
    </row>
    <row r="51" spans="1:16" ht="25.5">
      <c r="A51" s="19" t="s">
        <v>181</v>
      </c>
      <c r="B51" s="19" t="s">
        <v>149</v>
      </c>
      <c r="C51" s="20">
        <v>12290</v>
      </c>
      <c r="D51" s="13">
        <v>19584</v>
      </c>
      <c r="E51" s="249"/>
      <c r="F51" s="31"/>
      <c r="G51" s="31"/>
      <c r="H51" s="31"/>
      <c r="I51" s="31"/>
      <c r="J51" s="31"/>
      <c r="K51" s="31"/>
      <c r="L51" s="31"/>
      <c r="M51" s="97"/>
      <c r="N51" s="51"/>
      <c r="O51" s="51"/>
      <c r="P51" s="51"/>
    </row>
    <row r="52" spans="1:16" ht="25.5">
      <c r="A52" s="19" t="s">
        <v>158</v>
      </c>
      <c r="B52" s="19" t="s">
        <v>149</v>
      </c>
      <c r="C52" s="20">
        <v>16230</v>
      </c>
      <c r="D52" s="13">
        <v>15988</v>
      </c>
      <c r="E52" s="249"/>
      <c r="F52" s="31"/>
      <c r="G52" s="31"/>
      <c r="H52" s="31"/>
      <c r="I52" s="31"/>
      <c r="J52" s="31"/>
      <c r="K52" s="31"/>
      <c r="L52" s="31"/>
      <c r="M52" s="97"/>
      <c r="N52" s="52"/>
      <c r="O52" s="52"/>
      <c r="P52" s="52"/>
    </row>
    <row r="53" spans="1:16" ht="25.5">
      <c r="A53" s="19" t="s">
        <v>156</v>
      </c>
      <c r="B53" s="19" t="s">
        <v>149</v>
      </c>
      <c r="C53" s="20">
        <v>7885</v>
      </c>
      <c r="D53" s="13">
        <v>8596</v>
      </c>
      <c r="E53" s="249"/>
      <c r="F53" s="31"/>
      <c r="G53" s="31"/>
      <c r="H53" s="31"/>
      <c r="I53" s="31"/>
      <c r="J53" s="31"/>
      <c r="K53" s="31"/>
      <c r="L53" s="31"/>
      <c r="M53" s="97"/>
      <c r="N53" s="52"/>
      <c r="O53" s="52"/>
      <c r="P53" s="52"/>
    </row>
    <row r="54" spans="1:16" ht="25.5">
      <c r="A54" s="19" t="s">
        <v>172</v>
      </c>
      <c r="B54" s="19" t="s">
        <v>149</v>
      </c>
      <c r="C54" s="20">
        <v>0</v>
      </c>
      <c r="D54" s="13">
        <v>7384</v>
      </c>
      <c r="E54" s="249"/>
      <c r="F54" s="31"/>
      <c r="G54" s="31"/>
      <c r="H54" s="31"/>
      <c r="I54" s="31"/>
      <c r="J54" s="31"/>
      <c r="K54" s="31"/>
      <c r="L54" s="31"/>
      <c r="M54" s="97"/>
      <c r="N54" s="52"/>
      <c r="O54" s="52"/>
      <c r="P54" s="52"/>
    </row>
    <row r="55" spans="1:16" ht="25.5">
      <c r="A55" s="19" t="s">
        <v>61</v>
      </c>
      <c r="B55" s="19" t="s">
        <v>149</v>
      </c>
      <c r="C55" s="20">
        <v>4070</v>
      </c>
      <c r="D55" s="13">
        <v>3959</v>
      </c>
      <c r="E55" s="249"/>
      <c r="F55" s="31"/>
      <c r="G55" s="31"/>
      <c r="H55" s="31"/>
      <c r="I55" s="31"/>
      <c r="J55" s="31"/>
      <c r="K55" s="31"/>
      <c r="L55" s="31"/>
      <c r="M55" s="97"/>
      <c r="N55" s="52"/>
      <c r="O55" s="52"/>
      <c r="P55" s="52"/>
    </row>
    <row r="56" spans="1:16" ht="25.5">
      <c r="A56" s="19" t="s">
        <v>194</v>
      </c>
      <c r="B56" s="19" t="s">
        <v>149</v>
      </c>
      <c r="C56" s="20">
        <v>4056</v>
      </c>
      <c r="D56" s="13">
        <v>3944</v>
      </c>
      <c r="E56" s="249"/>
      <c r="F56" s="31"/>
      <c r="G56" s="31"/>
      <c r="H56" s="31"/>
      <c r="I56" s="31"/>
      <c r="J56" s="31"/>
      <c r="K56" s="31"/>
      <c r="L56" s="31"/>
      <c r="M56" s="97"/>
      <c r="N56" s="52"/>
      <c r="O56" s="52"/>
      <c r="P56" s="52"/>
    </row>
    <row r="57" spans="1:16" ht="25.5">
      <c r="A57" s="19" t="s">
        <v>192</v>
      </c>
      <c r="B57" s="19" t="s">
        <v>149</v>
      </c>
      <c r="C57" s="20">
        <v>3847</v>
      </c>
      <c r="D57" s="13">
        <v>3661</v>
      </c>
      <c r="E57" s="249"/>
      <c r="F57" s="31"/>
      <c r="G57" s="31"/>
      <c r="H57" s="31"/>
      <c r="I57" s="31"/>
      <c r="J57" s="31"/>
      <c r="K57" s="31"/>
      <c r="L57" s="31"/>
      <c r="M57" s="97"/>
      <c r="N57" s="52"/>
      <c r="O57" s="52"/>
      <c r="P57" s="52"/>
    </row>
    <row r="58" spans="1:16" ht="25.5">
      <c r="A58" s="19" t="s">
        <v>207</v>
      </c>
      <c r="B58" s="19" t="s">
        <v>149</v>
      </c>
      <c r="C58" s="20">
        <v>3129</v>
      </c>
      <c r="D58" s="13">
        <v>2874</v>
      </c>
      <c r="E58" s="249"/>
      <c r="F58" s="31"/>
      <c r="G58" s="31"/>
      <c r="H58" s="31"/>
      <c r="I58" s="31"/>
      <c r="J58" s="31"/>
      <c r="K58" s="31"/>
      <c r="L58" s="31"/>
      <c r="M58" s="97"/>
      <c r="N58" s="52"/>
      <c r="O58" s="52"/>
      <c r="P58" s="52"/>
    </row>
    <row r="59" spans="1:16" ht="25.5">
      <c r="A59" s="19" t="s">
        <v>191</v>
      </c>
      <c r="B59" s="19" t="s">
        <v>149</v>
      </c>
      <c r="C59" s="20">
        <v>0</v>
      </c>
      <c r="D59" s="13">
        <v>2787</v>
      </c>
      <c r="E59" s="249"/>
      <c r="F59" s="31"/>
      <c r="G59" s="31"/>
      <c r="H59" s="31"/>
      <c r="I59" s="31"/>
      <c r="J59" s="31"/>
      <c r="K59" s="31"/>
      <c r="L59" s="31"/>
      <c r="M59" s="97"/>
      <c r="N59" s="52"/>
      <c r="O59" s="52"/>
      <c r="P59" s="52"/>
    </row>
    <row r="60" spans="1:16" ht="25.5">
      <c r="A60" s="19" t="s">
        <v>206</v>
      </c>
      <c r="B60" s="19" t="s">
        <v>149</v>
      </c>
      <c r="C60" s="20">
        <v>2222</v>
      </c>
      <c r="D60" s="13">
        <v>2416</v>
      </c>
      <c r="E60" s="249"/>
      <c r="F60" s="31"/>
      <c r="G60" s="31"/>
      <c r="H60" s="31"/>
      <c r="I60" s="31"/>
      <c r="J60" s="31"/>
      <c r="K60" s="31"/>
      <c r="L60" s="31"/>
      <c r="M60" s="97"/>
      <c r="N60" s="52"/>
      <c r="O60" s="52"/>
      <c r="P60" s="52"/>
    </row>
    <row r="61" spans="1:16" ht="25.5">
      <c r="A61" s="19" t="s">
        <v>223</v>
      </c>
      <c r="B61" s="19" t="s">
        <v>149</v>
      </c>
      <c r="C61" s="20">
        <v>2837</v>
      </c>
      <c r="D61" s="13">
        <v>2140</v>
      </c>
      <c r="E61" s="249"/>
      <c r="F61" s="31"/>
      <c r="G61" s="31"/>
      <c r="H61" s="31"/>
      <c r="I61" s="31"/>
      <c r="J61" s="31"/>
      <c r="K61" s="31"/>
      <c r="L61" s="31"/>
      <c r="M61" s="97"/>
      <c r="N61" s="52"/>
      <c r="O61" s="52"/>
      <c r="P61" s="52"/>
    </row>
    <row r="62" spans="1:16" ht="25.5">
      <c r="A62" s="19" t="s">
        <v>168</v>
      </c>
      <c r="B62" s="19" t="s">
        <v>149</v>
      </c>
      <c r="C62" s="20">
        <v>1713</v>
      </c>
      <c r="D62" s="13">
        <v>1701</v>
      </c>
      <c r="E62" s="249"/>
      <c r="F62" s="31"/>
      <c r="G62" s="31"/>
      <c r="H62" s="31"/>
      <c r="I62" s="31"/>
      <c r="J62" s="31"/>
      <c r="K62" s="31"/>
      <c r="L62" s="31"/>
      <c r="M62" s="97"/>
      <c r="N62" s="52"/>
      <c r="O62" s="52"/>
      <c r="P62" s="52"/>
    </row>
    <row r="63" spans="1:16" ht="25.5">
      <c r="A63" s="19" t="s">
        <v>166</v>
      </c>
      <c r="B63" s="19" t="s">
        <v>149</v>
      </c>
      <c r="C63" s="20">
        <v>734</v>
      </c>
      <c r="D63" s="13">
        <v>749</v>
      </c>
      <c r="E63" s="249"/>
      <c r="F63" s="31"/>
      <c r="G63" s="31"/>
      <c r="H63" s="31"/>
      <c r="I63" s="31"/>
      <c r="J63" s="31"/>
      <c r="K63" s="31"/>
      <c r="L63" s="31"/>
      <c r="M63" s="97"/>
      <c r="N63" s="52"/>
      <c r="O63" s="52"/>
      <c r="P63" s="52"/>
    </row>
    <row r="64" spans="1:16" ht="25.5">
      <c r="A64" s="19" t="s">
        <v>216</v>
      </c>
      <c r="B64" s="19" t="s">
        <v>149</v>
      </c>
      <c r="C64" s="20">
        <v>172</v>
      </c>
      <c r="D64" s="13">
        <v>192</v>
      </c>
      <c r="E64" s="249"/>
      <c r="F64" s="31"/>
      <c r="G64" s="31"/>
      <c r="H64" s="31"/>
      <c r="I64" s="31"/>
      <c r="J64" s="31"/>
      <c r="K64" s="31"/>
      <c r="L64" s="31"/>
      <c r="M64" s="97"/>
      <c r="N64" s="52"/>
      <c r="O64" s="52"/>
      <c r="P64" s="52"/>
    </row>
    <row r="65" spans="1:16" ht="25.5">
      <c r="A65" s="19" t="s">
        <v>165</v>
      </c>
      <c r="B65" s="19" t="s">
        <v>149</v>
      </c>
      <c r="C65" s="20">
        <v>24</v>
      </c>
      <c r="D65" s="13">
        <v>27</v>
      </c>
      <c r="E65" s="249"/>
      <c r="F65" s="31"/>
      <c r="G65" s="31"/>
      <c r="H65" s="31"/>
      <c r="I65" s="31"/>
      <c r="J65" s="31"/>
      <c r="K65" s="31"/>
      <c r="L65" s="31"/>
      <c r="M65" s="97"/>
      <c r="N65" s="52"/>
      <c r="O65" s="52"/>
      <c r="P65" s="52"/>
    </row>
    <row r="66" spans="1:16" ht="25.5">
      <c r="A66" s="19" t="s">
        <v>214</v>
      </c>
      <c r="B66" s="19" t="s">
        <v>149</v>
      </c>
      <c r="C66" s="20">
        <v>14</v>
      </c>
      <c r="D66" s="13">
        <v>15</v>
      </c>
      <c r="E66" s="249"/>
      <c r="F66" s="31"/>
      <c r="G66" s="31"/>
      <c r="H66" s="31"/>
      <c r="I66" s="31"/>
      <c r="J66" s="31"/>
      <c r="K66" s="31"/>
      <c r="L66" s="31"/>
      <c r="M66" s="97"/>
      <c r="N66" s="52"/>
      <c r="O66" s="52"/>
      <c r="P66" s="52"/>
    </row>
    <row r="67" spans="1:16" ht="25.5">
      <c r="A67" s="19" t="s">
        <v>200</v>
      </c>
      <c r="B67" s="19" t="s">
        <v>149</v>
      </c>
      <c r="C67" s="20">
        <v>16767</v>
      </c>
      <c r="D67" s="13">
        <v>0</v>
      </c>
      <c r="E67" s="249"/>
      <c r="F67" s="31"/>
      <c r="G67" s="31"/>
      <c r="H67" s="31"/>
      <c r="I67" s="31"/>
      <c r="J67" s="31"/>
      <c r="K67" s="31"/>
      <c r="L67" s="31"/>
      <c r="M67" s="97"/>
      <c r="N67" s="52"/>
      <c r="O67" s="52"/>
      <c r="P67" s="52"/>
    </row>
    <row r="68" spans="1:16" ht="25.5">
      <c r="A68" s="19" t="s">
        <v>46</v>
      </c>
      <c r="B68" s="19" t="s">
        <v>149</v>
      </c>
      <c r="C68" s="20">
        <v>0</v>
      </c>
      <c r="D68" s="13">
        <v>0</v>
      </c>
      <c r="E68" s="249"/>
      <c r="F68" s="31"/>
      <c r="G68" s="31"/>
      <c r="H68" s="31"/>
      <c r="I68" s="31"/>
      <c r="J68" s="31"/>
      <c r="K68" s="31"/>
      <c r="L68" s="31"/>
      <c r="M68" s="97"/>
      <c r="N68" s="52"/>
      <c r="O68" s="52"/>
      <c r="P68" s="52"/>
    </row>
    <row r="69" spans="1:16" ht="25.5">
      <c r="A69" s="19" t="s">
        <v>162</v>
      </c>
      <c r="B69" s="19" t="s">
        <v>149</v>
      </c>
      <c r="C69" s="20">
        <v>0</v>
      </c>
      <c r="D69" s="13">
        <v>0</v>
      </c>
      <c r="E69" s="249"/>
      <c r="F69" s="31"/>
      <c r="G69" s="31"/>
      <c r="H69" s="31"/>
      <c r="I69" s="31"/>
      <c r="J69" s="31"/>
      <c r="K69" s="31"/>
      <c r="L69" s="31"/>
      <c r="M69" s="97"/>
      <c r="N69" s="55"/>
      <c r="O69" s="55"/>
      <c r="P69" s="55"/>
    </row>
    <row r="70" spans="1:16" ht="25.5">
      <c r="A70" s="252" t="s">
        <v>190</v>
      </c>
      <c r="B70" s="252" t="s">
        <v>149</v>
      </c>
      <c r="C70" s="253">
        <v>0</v>
      </c>
      <c r="D70" s="254">
        <v>0</v>
      </c>
      <c r="E70" s="249"/>
      <c r="F70" s="31"/>
      <c r="G70" s="31"/>
      <c r="H70" s="31"/>
      <c r="I70" s="31"/>
      <c r="J70" s="31"/>
      <c r="K70" s="31"/>
      <c r="L70" s="31"/>
      <c r="M70" s="97"/>
      <c r="N70" s="55"/>
      <c r="O70" s="55"/>
      <c r="P70" s="55"/>
    </row>
    <row r="71" spans="6:12" ht="12.75">
      <c r="F71" s="7"/>
      <c r="G71" s="7"/>
      <c r="H71" s="7"/>
      <c r="I71" s="7"/>
      <c r="J71" s="7"/>
      <c r="K71" s="7"/>
      <c r="L71" s="7"/>
    </row>
    <row r="73" spans="1:5" ht="15.75">
      <c r="A73" s="220" t="s">
        <v>35</v>
      </c>
      <c r="B73" s="224" t="s">
        <v>45</v>
      </c>
      <c r="C73" s="221"/>
      <c r="D73" s="221"/>
      <c r="E73" s="221"/>
    </row>
    <row r="74" spans="2:5" ht="12.75">
      <c r="B74" s="9" t="s">
        <v>240</v>
      </c>
      <c r="E74" s="4"/>
    </row>
  </sheetData>
  <mergeCells count="4">
    <mergeCell ref="M2:P2"/>
    <mergeCell ref="F3:H3"/>
    <mergeCell ref="A3:D3"/>
    <mergeCell ref="J3:K3"/>
  </mergeCells>
  <hyperlinks>
    <hyperlink ref="B73" r:id="rId1" display="http://faostat.fao.org/site/616/default.aspx#ancor"/>
  </hyperlinks>
  <printOptions/>
  <pageMargins left="0.787401575" right="0.787401575" top="1" bottom="1" header="0" footer="0"/>
  <pageSetup orientation="portrait" paperSize="9"/>
  <ignoredErrors>
    <ignoredError sqref="H18 O16 P6 P24" formula="1"/>
  </ignoredErrors>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P82"/>
  <sheetViews>
    <sheetView zoomScale="90" zoomScaleNormal="90" workbookViewId="0" topLeftCell="A1">
      <selection activeCell="O8" sqref="O8"/>
    </sheetView>
  </sheetViews>
  <sheetFormatPr defaultColWidth="11.00390625" defaultRowHeight="12.75"/>
  <cols>
    <col min="1" max="1" width="21.00390625" style="0" customWidth="1"/>
    <col min="2" max="2" width="9.625" style="0" customWidth="1"/>
    <col min="3" max="3" width="8.75390625" style="0" customWidth="1"/>
    <col min="4" max="4" width="9.375" style="0" customWidth="1"/>
    <col min="5" max="5" width="6.125" style="4" customWidth="1"/>
    <col min="6" max="6" width="13.375" style="0" customWidth="1"/>
    <col min="7" max="7" width="11.625" style="0" customWidth="1"/>
    <col min="8" max="8" width="10.375" style="0" customWidth="1"/>
    <col min="9" max="9" width="4.75390625" style="4" customWidth="1"/>
    <col min="10" max="10" width="17.625" style="0" customWidth="1"/>
    <col min="11" max="11" width="16.00390625" style="0" customWidth="1"/>
    <col min="12" max="12" width="4.875" style="4" customWidth="1"/>
    <col min="13" max="13" width="21.125" style="0" bestFit="1" customWidth="1"/>
    <col min="14" max="14" width="18.50390625" style="0" customWidth="1"/>
    <col min="15" max="15" width="17.375" style="0" customWidth="1"/>
    <col min="16" max="16" width="20.50390625" style="0" customWidth="1"/>
  </cols>
  <sheetData>
    <row r="2" spans="1:16" ht="15.75">
      <c r="A2" s="5"/>
      <c r="B2" s="5"/>
      <c r="C2" s="5"/>
      <c r="D2" s="5"/>
      <c r="E2" s="171"/>
      <c r="F2" s="5"/>
      <c r="G2" s="5"/>
      <c r="H2" s="5"/>
      <c r="I2" s="171"/>
      <c r="J2" s="5"/>
      <c r="K2" s="5"/>
      <c r="L2" s="171"/>
      <c r="M2" s="262" t="s">
        <v>84</v>
      </c>
      <c r="N2" s="263"/>
      <c r="O2" s="263"/>
      <c r="P2" s="264"/>
    </row>
    <row r="3" spans="1:16" ht="15.75">
      <c r="A3" s="263" t="s">
        <v>234</v>
      </c>
      <c r="B3" s="263"/>
      <c r="C3" s="263"/>
      <c r="D3" s="264"/>
      <c r="E3" s="111"/>
      <c r="F3" s="262" t="s">
        <v>76</v>
      </c>
      <c r="G3" s="263"/>
      <c r="H3" s="264"/>
      <c r="I3" s="75"/>
      <c r="J3" s="265" t="s">
        <v>104</v>
      </c>
      <c r="K3" s="265"/>
      <c r="L3" s="75"/>
      <c r="M3" s="161"/>
      <c r="N3" s="162"/>
      <c r="O3" s="163"/>
      <c r="P3" s="217" t="s">
        <v>86</v>
      </c>
    </row>
    <row r="4" spans="1:16" ht="15" customHeight="1">
      <c r="A4" s="107" t="s">
        <v>74</v>
      </c>
      <c r="B4" s="107" t="s">
        <v>75</v>
      </c>
      <c r="C4" s="107">
        <v>2006</v>
      </c>
      <c r="D4" s="108">
        <v>2007</v>
      </c>
      <c r="E4" s="180"/>
      <c r="F4" s="109" t="s">
        <v>63</v>
      </c>
      <c r="G4" s="99" t="s">
        <v>64</v>
      </c>
      <c r="H4" s="99" t="s">
        <v>65</v>
      </c>
      <c r="I4" s="86"/>
      <c r="J4" s="103" t="s">
        <v>74</v>
      </c>
      <c r="K4" s="103" t="s">
        <v>105</v>
      </c>
      <c r="L4" s="86"/>
      <c r="M4" s="120" t="s">
        <v>74</v>
      </c>
      <c r="N4" s="103" t="s">
        <v>226</v>
      </c>
      <c r="O4" s="222" t="s">
        <v>227</v>
      </c>
      <c r="P4" s="103" t="s">
        <v>236</v>
      </c>
    </row>
    <row r="5" spans="1:16" ht="25.5">
      <c r="A5" s="19" t="s">
        <v>203</v>
      </c>
      <c r="B5" s="19" t="s">
        <v>149</v>
      </c>
      <c r="C5" s="20">
        <v>31990502</v>
      </c>
      <c r="D5" s="13">
        <v>32893377</v>
      </c>
      <c r="E5" s="112"/>
      <c r="F5" s="16" t="s">
        <v>66</v>
      </c>
      <c r="G5" s="17" t="s">
        <v>66</v>
      </c>
      <c r="H5" s="29">
        <f>0.309*D5</f>
        <v>10164053.493</v>
      </c>
      <c r="I5" s="17"/>
      <c r="J5" s="79" t="s">
        <v>112</v>
      </c>
      <c r="K5" s="60">
        <v>10164053.49</v>
      </c>
      <c r="L5" s="17"/>
      <c r="M5" s="96" t="str">
        <f>A5</f>
        <v>Rice (Paddy Equivalent)</v>
      </c>
      <c r="N5" s="118">
        <f>(H5*600)*(4/5.67)</f>
        <v>4302244864.761905</v>
      </c>
      <c r="O5" s="69">
        <f>(0.031*D5)*13585</f>
        <v>13852552322.895</v>
      </c>
      <c r="P5" s="69">
        <f>(0.0369*D5)*580</f>
        <v>703984054.554</v>
      </c>
    </row>
    <row r="6" spans="1:16" ht="25.5">
      <c r="A6" s="19" t="s">
        <v>202</v>
      </c>
      <c r="B6" s="19" t="s">
        <v>149</v>
      </c>
      <c r="C6" s="20">
        <v>21337665</v>
      </c>
      <c r="D6" s="13">
        <v>21939882</v>
      </c>
      <c r="E6" s="112"/>
      <c r="F6" s="16" t="s">
        <v>66</v>
      </c>
      <c r="G6" s="17" t="s">
        <v>66</v>
      </c>
      <c r="H6" s="29">
        <f>0.309*D6</f>
        <v>6779423.538</v>
      </c>
      <c r="I6" s="17"/>
      <c r="J6" s="80" t="s">
        <v>179</v>
      </c>
      <c r="K6" s="63">
        <v>7909534.86</v>
      </c>
      <c r="L6" s="17"/>
      <c r="M6" s="187" t="str">
        <f aca="true" t="shared" si="0" ref="M6:M25">A6</f>
        <v>Rice (Milled Equivalent)</v>
      </c>
      <c r="N6" s="148">
        <f aca="true" t="shared" si="1" ref="N6:N13">(H6*600)*(4/5.67)</f>
        <v>2869597264.7619042</v>
      </c>
      <c r="O6" s="70">
        <f>(0.031*D6)*13585</f>
        <v>9239652206.07</v>
      </c>
      <c r="P6" s="70">
        <f>(0.0369*D6)*580</f>
        <v>469557354.564</v>
      </c>
    </row>
    <row r="7" spans="1:16" ht="25.5">
      <c r="A7" s="19" t="s">
        <v>198</v>
      </c>
      <c r="B7" s="19" t="s">
        <v>149</v>
      </c>
      <c r="C7" s="20">
        <v>10813345</v>
      </c>
      <c r="D7" s="13">
        <v>11050624</v>
      </c>
      <c r="E7" s="112"/>
      <c r="F7" s="16" t="s">
        <v>66</v>
      </c>
      <c r="G7" s="17" t="s">
        <v>66</v>
      </c>
      <c r="H7" s="29">
        <f>0.096*D7</f>
        <v>1060859.904</v>
      </c>
      <c r="I7" s="17"/>
      <c r="J7" s="81" t="s">
        <v>198</v>
      </c>
      <c r="K7" s="82">
        <v>6779423.54</v>
      </c>
      <c r="L7" s="17"/>
      <c r="M7" s="187" t="str">
        <f t="shared" si="0"/>
        <v>Potatoes</v>
      </c>
      <c r="N7" s="148">
        <f t="shared" si="1"/>
        <v>449041229.20634925</v>
      </c>
      <c r="O7" s="70">
        <f>(0.096*D7)*13585</f>
        <v>14411781795.840002</v>
      </c>
      <c r="P7" s="70">
        <f>(0.0225*D7)*580</f>
        <v>144210643.2</v>
      </c>
    </row>
    <row r="8" spans="1:16" ht="25.5">
      <c r="A8" s="19" t="s">
        <v>179</v>
      </c>
      <c r="B8" s="19" t="s">
        <v>149</v>
      </c>
      <c r="C8" s="20">
        <v>10032583</v>
      </c>
      <c r="D8" s="13">
        <v>11020670</v>
      </c>
      <c r="E8" s="112"/>
      <c r="F8" s="30">
        <f>0.1355*D8</f>
        <v>1493300.7850000001</v>
      </c>
      <c r="G8" s="31">
        <f>0.1235*D8</f>
        <v>1361052.7449999999</v>
      </c>
      <c r="H8" s="29">
        <f>0.7177*D8</f>
        <v>7909534.859</v>
      </c>
      <c r="I8" s="17"/>
      <c r="J8" s="80" t="s">
        <v>53</v>
      </c>
      <c r="K8" s="63">
        <v>3787296.05</v>
      </c>
      <c r="L8" s="17"/>
      <c r="M8" s="187" t="str">
        <f t="shared" si="0"/>
        <v>Maize</v>
      </c>
      <c r="N8" s="148">
        <f t="shared" si="1"/>
        <v>3347951263.0687833</v>
      </c>
      <c r="O8" s="70">
        <f>(0.035*D8)*13585</f>
        <v>5240053068.25</v>
      </c>
      <c r="P8" s="70">
        <f>(0.0945*D8)*580</f>
        <v>604042922.7</v>
      </c>
    </row>
    <row r="9" spans="1:16" ht="25.5">
      <c r="A9" s="19" t="s">
        <v>53</v>
      </c>
      <c r="B9" s="19" t="s">
        <v>149</v>
      </c>
      <c r="C9" s="20">
        <v>10755073</v>
      </c>
      <c r="D9" s="13">
        <v>10728884</v>
      </c>
      <c r="E9" s="112"/>
      <c r="F9" s="16" t="s">
        <v>66</v>
      </c>
      <c r="G9" s="17" t="s">
        <v>66</v>
      </c>
      <c r="H9" s="29">
        <f>0.353*D9</f>
        <v>3787296.0519999997</v>
      </c>
      <c r="I9" s="17"/>
      <c r="J9" s="80" t="s">
        <v>219</v>
      </c>
      <c r="K9" s="63">
        <v>3501205.66</v>
      </c>
      <c r="L9" s="17"/>
      <c r="M9" s="187" t="str">
        <f t="shared" si="0"/>
        <v>Wheat</v>
      </c>
      <c r="N9" s="148">
        <f t="shared" si="1"/>
        <v>1603088275.9788358</v>
      </c>
      <c r="O9" s="70">
        <f>(0.05*D9)*13585</f>
        <v>7287594457.000001</v>
      </c>
      <c r="P9" s="70">
        <f>(0.0233*D9)*580</f>
        <v>144990138.37600002</v>
      </c>
    </row>
    <row r="10" spans="1:16" ht="25.5">
      <c r="A10" s="19" t="s">
        <v>219</v>
      </c>
      <c r="B10" s="19" t="s">
        <v>149</v>
      </c>
      <c r="C10" s="20">
        <v>7274339</v>
      </c>
      <c r="D10" s="13">
        <v>8539526</v>
      </c>
      <c r="E10" s="112"/>
      <c r="F10" s="16" t="s">
        <v>66</v>
      </c>
      <c r="G10" s="17" t="s">
        <v>66</v>
      </c>
      <c r="H10" s="29">
        <f>0.41*D10</f>
        <v>3501205.6599999997</v>
      </c>
      <c r="I10" s="17"/>
      <c r="J10" s="80" t="s">
        <v>150</v>
      </c>
      <c r="K10" s="63">
        <v>1647528.9</v>
      </c>
      <c r="L10" s="17"/>
      <c r="M10" s="187" t="str">
        <f t="shared" si="0"/>
        <v>Sugar Cane</v>
      </c>
      <c r="N10" s="148">
        <f t="shared" si="1"/>
        <v>1481991813.7566135</v>
      </c>
      <c r="O10" s="70">
        <f>(0.001*D10)*13585</f>
        <v>116009460.71</v>
      </c>
      <c r="P10" s="70">
        <f>(0.02*D10)*580</f>
        <v>99058501.6</v>
      </c>
    </row>
    <row r="11" spans="1:16" ht="25.5">
      <c r="A11" s="19" t="s">
        <v>151</v>
      </c>
      <c r="B11" s="19" t="s">
        <v>149</v>
      </c>
      <c r="C11" s="20">
        <v>6974348</v>
      </c>
      <c r="D11" s="13">
        <v>7615699</v>
      </c>
      <c r="E11" s="112"/>
      <c r="F11" s="30">
        <f>0.5025*D11</f>
        <v>3826888.7474999996</v>
      </c>
      <c r="G11" s="17" t="s">
        <v>66</v>
      </c>
      <c r="H11" s="29">
        <f>0.095*D11</f>
        <v>723491.405</v>
      </c>
      <c r="I11" s="17"/>
      <c r="J11" s="80" t="s">
        <v>51</v>
      </c>
      <c r="K11" s="63">
        <v>1215536.1</v>
      </c>
      <c r="L11" s="17"/>
      <c r="M11" s="187" t="str">
        <f t="shared" si="0"/>
        <v>Bananas</v>
      </c>
      <c r="N11" s="148">
        <f t="shared" si="1"/>
        <v>306239748.1481481</v>
      </c>
      <c r="O11" s="70">
        <f>(0.1735*D11)*13585</f>
        <v>17950183503.7525</v>
      </c>
      <c r="P11" s="70">
        <f>(0.086*D11)*580</f>
        <v>379871066.11999995</v>
      </c>
    </row>
    <row r="12" spans="1:16" ht="25.5">
      <c r="A12" s="19" t="s">
        <v>51</v>
      </c>
      <c r="B12" s="19" t="s">
        <v>149</v>
      </c>
      <c r="C12" s="20">
        <v>6023526</v>
      </c>
      <c r="D12" s="13">
        <v>6170234</v>
      </c>
      <c r="E12" s="112"/>
      <c r="F12" s="30">
        <f>0.7873*D12</f>
        <v>4857825.2282</v>
      </c>
      <c r="G12" s="31">
        <f>0.7152*D12</f>
        <v>4412951.356799999</v>
      </c>
      <c r="H12" s="29">
        <f>0.197*D12</f>
        <v>1215536.098</v>
      </c>
      <c r="I12" s="17"/>
      <c r="J12" s="80" t="s">
        <v>152</v>
      </c>
      <c r="K12" s="63">
        <v>1149575.67</v>
      </c>
      <c r="L12" s="17"/>
      <c r="M12" s="187" t="str">
        <f t="shared" si="0"/>
        <v>Tomatoes</v>
      </c>
      <c r="N12" s="148">
        <f t="shared" si="1"/>
        <v>514512634.07407403</v>
      </c>
      <c r="O12" s="70">
        <f>(0.097*D12)*13585</f>
        <v>8130795002.33</v>
      </c>
      <c r="P12" s="70">
        <f>(0.1101*D12)*580</f>
        <v>394018802.772</v>
      </c>
    </row>
    <row r="13" spans="1:16" ht="25.5">
      <c r="A13" s="19" t="s">
        <v>157</v>
      </c>
      <c r="B13" s="19" t="s">
        <v>149</v>
      </c>
      <c r="C13" s="20">
        <v>4822288</v>
      </c>
      <c r="D13" s="13">
        <v>5087260</v>
      </c>
      <c r="E13" s="112"/>
      <c r="F13" s="16" t="s">
        <v>66</v>
      </c>
      <c r="G13" s="17" t="s">
        <v>66</v>
      </c>
      <c r="H13" s="29">
        <f>0.14*D13</f>
        <v>712216.4</v>
      </c>
      <c r="I13" s="17"/>
      <c r="J13" s="80" t="s">
        <v>198</v>
      </c>
      <c r="K13" s="63">
        <v>1060859.9</v>
      </c>
      <c r="L13" s="17"/>
      <c r="M13" s="187" t="str">
        <f t="shared" si="0"/>
        <v>Cassava</v>
      </c>
      <c r="N13" s="148">
        <f t="shared" si="1"/>
        <v>301467259.2592592</v>
      </c>
      <c r="O13" s="70" t="s">
        <v>83</v>
      </c>
      <c r="P13" s="70">
        <f>(0.035*D13)*580</f>
        <v>103271378</v>
      </c>
    </row>
    <row r="14" spans="1:16" ht="25.5">
      <c r="A14" s="19" t="s">
        <v>47</v>
      </c>
      <c r="B14" s="19" t="s">
        <v>149</v>
      </c>
      <c r="C14" s="20">
        <v>4540126</v>
      </c>
      <c r="D14" s="13">
        <v>4281329</v>
      </c>
      <c r="E14" s="112"/>
      <c r="F14" s="30">
        <f>0.112*D14</f>
        <v>479508.848</v>
      </c>
      <c r="G14" s="31">
        <f>0.0544*D14</f>
        <v>232904.2976</v>
      </c>
      <c r="H14" s="18">
        <f>((5.44*30/100)/100)*D14</f>
        <v>69871.28928000001</v>
      </c>
      <c r="I14" s="17"/>
      <c r="J14" s="80" t="s">
        <v>151</v>
      </c>
      <c r="K14" s="63">
        <v>723491.41</v>
      </c>
      <c r="L14" s="17"/>
      <c r="M14" s="187" t="str">
        <f t="shared" si="0"/>
        <v>Sweet Potatoes</v>
      </c>
      <c r="N14" s="218" t="s">
        <v>83</v>
      </c>
      <c r="O14" s="70">
        <f>(0.0296*D14)*13585</f>
        <v>1721590892.164</v>
      </c>
      <c r="P14" s="70">
        <f>(0.0463*D14)*580</f>
        <v>114970808.966</v>
      </c>
    </row>
    <row r="15" spans="1:16" ht="25.5">
      <c r="A15" s="19" t="s">
        <v>150</v>
      </c>
      <c r="B15" s="19" t="s">
        <v>149</v>
      </c>
      <c r="C15" s="20">
        <v>3551112</v>
      </c>
      <c r="D15" s="13">
        <v>3778736</v>
      </c>
      <c r="E15" s="112"/>
      <c r="F15" s="30">
        <f>0.7623*D15</f>
        <v>2880530.4528</v>
      </c>
      <c r="G15" s="31">
        <f>0.6733*D15</f>
        <v>2544222.9488</v>
      </c>
      <c r="H15" s="29">
        <f>0.436*D15</f>
        <v>1647528.896</v>
      </c>
      <c r="I15" s="17"/>
      <c r="J15" s="80" t="s">
        <v>157</v>
      </c>
      <c r="K15" s="63">
        <v>712216.4</v>
      </c>
      <c r="L15" s="17"/>
      <c r="M15" s="187" t="str">
        <f t="shared" si="0"/>
        <v>Apples</v>
      </c>
      <c r="N15" s="148">
        <f>(H15*600)*(4/5.67)</f>
        <v>697366728.4656085</v>
      </c>
      <c r="O15" s="70">
        <f>(0.117*D15)*13585</f>
        <v>6006093041.52</v>
      </c>
      <c r="P15" s="70">
        <f>(0.0348*D15)*580</f>
        <v>76270007.424</v>
      </c>
    </row>
    <row r="16" spans="1:16" ht="25.5">
      <c r="A16" s="19" t="s">
        <v>188</v>
      </c>
      <c r="B16" s="19" t="s">
        <v>149</v>
      </c>
      <c r="C16" s="20">
        <v>3596847</v>
      </c>
      <c r="D16" s="13">
        <v>3758059</v>
      </c>
      <c r="E16" s="112"/>
      <c r="F16" s="30">
        <f>0.3469*D16</f>
        <v>1303670.6671</v>
      </c>
      <c r="G16" s="31">
        <f>0.295*D16</f>
        <v>1108627.405</v>
      </c>
      <c r="H16" s="18">
        <f>((29.5*30/100)/100)*D16</f>
        <v>332588.2215</v>
      </c>
      <c r="I16" s="17"/>
      <c r="J16" s="80" t="s">
        <v>213</v>
      </c>
      <c r="K16" s="63">
        <v>642758.16</v>
      </c>
      <c r="L16" s="17"/>
      <c r="M16" s="187" t="str">
        <f t="shared" si="0"/>
        <v>Onions</v>
      </c>
      <c r="N16" s="218" t="s">
        <v>83</v>
      </c>
      <c r="O16" s="70" t="s">
        <v>83</v>
      </c>
      <c r="P16" s="70">
        <f>(0.0398*D16)*580</f>
        <v>86751033.956</v>
      </c>
    </row>
    <row r="17" spans="1:16" ht="25.5">
      <c r="A17" s="19" t="s">
        <v>163</v>
      </c>
      <c r="B17" s="19" t="s">
        <v>149</v>
      </c>
      <c r="C17" s="20">
        <v>2152208</v>
      </c>
      <c r="D17" s="13">
        <v>2416842</v>
      </c>
      <c r="E17" s="112"/>
      <c r="F17" s="30">
        <f>0.8462*D17</f>
        <v>2045131.7004</v>
      </c>
      <c r="G17" s="17" t="s">
        <v>66</v>
      </c>
      <c r="H17" s="18">
        <f>((6.93*30/100)/100)*D17</f>
        <v>50246.14517999999</v>
      </c>
      <c r="I17" s="17"/>
      <c r="J17" s="80" t="s">
        <v>166</v>
      </c>
      <c r="K17" s="63">
        <v>429547.34</v>
      </c>
      <c r="L17" s="17"/>
      <c r="M17" s="187" t="str">
        <f t="shared" si="0"/>
        <v>Coconuts - Incl Copra</v>
      </c>
      <c r="N17" s="218" t="s">
        <v>83</v>
      </c>
      <c r="O17" s="70" t="s">
        <v>83</v>
      </c>
      <c r="P17" s="70">
        <f>(0.02*D17)*580</f>
        <v>28035367.200000003</v>
      </c>
    </row>
    <row r="18" spans="1:16" ht="25.5">
      <c r="A18" s="19" t="s">
        <v>152</v>
      </c>
      <c r="B18" s="19" t="s">
        <v>149</v>
      </c>
      <c r="C18" s="20">
        <v>2585423</v>
      </c>
      <c r="D18" s="13">
        <v>2181358</v>
      </c>
      <c r="E18" s="112"/>
      <c r="F18" s="16" t="s">
        <v>66</v>
      </c>
      <c r="G18" s="17" t="s">
        <v>66</v>
      </c>
      <c r="H18" s="29">
        <f>0.527*D18</f>
        <v>1149575.666</v>
      </c>
      <c r="I18" s="17"/>
      <c r="J18" s="80" t="s">
        <v>189</v>
      </c>
      <c r="K18" s="63">
        <v>379723.9</v>
      </c>
      <c r="L18" s="17"/>
      <c r="M18" s="187" t="str">
        <f t="shared" si="0"/>
        <v>Barley</v>
      </c>
      <c r="N18" s="148">
        <f>(H18*600)*(4/5.67)</f>
        <v>486592874.4973545</v>
      </c>
      <c r="O18" s="70" t="s">
        <v>83</v>
      </c>
      <c r="P18" s="70">
        <f>(0.0362*D18)*580</f>
        <v>45799792.56800001</v>
      </c>
    </row>
    <row r="19" spans="1:16" ht="25.5">
      <c r="A19" s="19" t="s">
        <v>189</v>
      </c>
      <c r="B19" s="19" t="s">
        <v>149</v>
      </c>
      <c r="C19" s="20">
        <v>1926354</v>
      </c>
      <c r="D19" s="13">
        <v>2019808</v>
      </c>
      <c r="E19" s="112"/>
      <c r="F19" s="30">
        <f>0.643*D19</f>
        <v>1298736.544</v>
      </c>
      <c r="G19" s="31">
        <f>0.54*D19</f>
        <v>1090696.32</v>
      </c>
      <c r="H19" s="29">
        <f>0.188*D19</f>
        <v>379723.904</v>
      </c>
      <c r="I19" s="17"/>
      <c r="J19" s="80" t="s">
        <v>171</v>
      </c>
      <c r="K19" s="63">
        <v>359359.7</v>
      </c>
      <c r="L19" s="17"/>
      <c r="M19" s="187" t="str">
        <f t="shared" si="0"/>
        <v>Oranges, Mandarines</v>
      </c>
      <c r="N19" s="148">
        <f aca="true" t="shared" si="2" ref="N19:N23">(H19*600)*(4/5.67)</f>
        <v>160729694.81481478</v>
      </c>
      <c r="O19" s="70">
        <f>(0.117*D19)*13585</f>
        <v>3210373726.5600004</v>
      </c>
      <c r="P19" s="70">
        <f>(0.0558*D19)*580</f>
        <v>65369066.112</v>
      </c>
    </row>
    <row r="20" spans="1:16" ht="25.5">
      <c r="A20" s="19" t="s">
        <v>213</v>
      </c>
      <c r="B20" s="19" t="s">
        <v>149</v>
      </c>
      <c r="C20" s="20">
        <v>1353446</v>
      </c>
      <c r="D20" s="13">
        <v>1460814</v>
      </c>
      <c r="E20" s="112"/>
      <c r="F20" s="16" t="s">
        <v>66</v>
      </c>
      <c r="G20" s="17" t="s">
        <v>66</v>
      </c>
      <c r="H20" s="29">
        <f>0.44*D20</f>
        <v>642758.16</v>
      </c>
      <c r="I20" s="17"/>
      <c r="J20" s="80" t="s">
        <v>188</v>
      </c>
      <c r="K20" s="63">
        <v>332588.22</v>
      </c>
      <c r="L20" s="17"/>
      <c r="M20" s="187" t="str">
        <f t="shared" si="0"/>
        <v>Soyabeans</v>
      </c>
      <c r="N20" s="148">
        <f t="shared" si="2"/>
        <v>272066946.03174603</v>
      </c>
      <c r="O20" s="70" t="s">
        <v>83</v>
      </c>
      <c r="P20" s="70">
        <f>(0.1624*D20)*580</f>
        <v>137596992.288</v>
      </c>
    </row>
    <row r="21" spans="1:16" ht="25.5">
      <c r="A21" s="19" t="s">
        <v>171</v>
      </c>
      <c r="B21" s="19" t="s">
        <v>149</v>
      </c>
      <c r="C21" s="20">
        <v>1308474</v>
      </c>
      <c r="D21" s="13">
        <v>1302854</v>
      </c>
      <c r="E21" s="112"/>
      <c r="F21" s="16" t="s">
        <v>66</v>
      </c>
      <c r="G21" s="17" t="s">
        <v>66</v>
      </c>
      <c r="H21" s="29">
        <f>0.275825*D21</f>
        <v>359359.70454999997</v>
      </c>
      <c r="I21" s="17"/>
      <c r="J21" s="80" t="s">
        <v>107</v>
      </c>
      <c r="K21" s="63">
        <v>276661.75</v>
      </c>
      <c r="L21" s="17"/>
      <c r="M21" s="187" t="str">
        <f t="shared" si="0"/>
        <v>Grapes</v>
      </c>
      <c r="N21" s="148">
        <f t="shared" si="2"/>
        <v>152109927.85185182</v>
      </c>
      <c r="O21" s="70">
        <f>(0.0362*D21)*13585</f>
        <v>640713631.5580001</v>
      </c>
      <c r="P21" s="70">
        <f>(0.0975*D21)*580</f>
        <v>73676393.7</v>
      </c>
    </row>
    <row r="22" spans="1:16" ht="25.5">
      <c r="A22" s="19" t="s">
        <v>166</v>
      </c>
      <c r="B22" s="19" t="s">
        <v>149</v>
      </c>
      <c r="C22" s="20">
        <v>946782</v>
      </c>
      <c r="D22" s="13">
        <v>1050238</v>
      </c>
      <c r="E22" s="112"/>
      <c r="F22" s="16" t="s">
        <v>66</v>
      </c>
      <c r="G22" s="17" t="s">
        <v>66</v>
      </c>
      <c r="H22" s="29">
        <f>0.409*D22</f>
        <v>429547.34199999995</v>
      </c>
      <c r="I22" s="17"/>
      <c r="J22" s="80" t="s">
        <v>196</v>
      </c>
      <c r="K22" s="63">
        <v>74398.6</v>
      </c>
      <c r="L22" s="17"/>
      <c r="M22" s="187" t="str">
        <f t="shared" si="0"/>
        <v>Cottonseed</v>
      </c>
      <c r="N22" s="148">
        <f t="shared" si="2"/>
        <v>181818980.7407407</v>
      </c>
      <c r="O22" s="70" t="s">
        <v>83</v>
      </c>
      <c r="P22" s="70">
        <f>(0.358*D22)*580</f>
        <v>218071418.32</v>
      </c>
    </row>
    <row r="23" spans="1:16" ht="25.5">
      <c r="A23" s="19" t="s">
        <v>218</v>
      </c>
      <c r="B23" s="19" t="s">
        <v>149</v>
      </c>
      <c r="C23" s="20">
        <v>818278</v>
      </c>
      <c r="D23" s="13">
        <v>756113</v>
      </c>
      <c r="E23" s="112"/>
      <c r="F23" s="16" t="s">
        <v>66</v>
      </c>
      <c r="G23" s="17" t="s">
        <v>66</v>
      </c>
      <c r="H23" s="29">
        <f>0.3659*D23</f>
        <v>276661.7467</v>
      </c>
      <c r="I23" s="17"/>
      <c r="J23" s="80" t="s">
        <v>113</v>
      </c>
      <c r="K23" s="63">
        <v>69871.29</v>
      </c>
      <c r="L23" s="17"/>
      <c r="M23" s="187" t="str">
        <f t="shared" si="0"/>
        <v>Rape (and Mustard)seed</v>
      </c>
      <c r="N23" s="148">
        <f t="shared" si="2"/>
        <v>117105501.24867725</v>
      </c>
      <c r="O23" s="70" t="s">
        <v>83</v>
      </c>
      <c r="P23" s="70">
        <f>((0.045+0.0303/2)*D23)*580</f>
        <v>26378514.231</v>
      </c>
    </row>
    <row r="24" spans="1:16" ht="25.5">
      <c r="A24" s="19" t="s">
        <v>181</v>
      </c>
      <c r="B24" s="19" t="s">
        <v>149</v>
      </c>
      <c r="C24" s="20">
        <v>644403</v>
      </c>
      <c r="D24" s="13">
        <v>749377</v>
      </c>
      <c r="E24" s="112"/>
      <c r="F24" s="30" t="s">
        <v>83</v>
      </c>
      <c r="G24" s="31" t="s">
        <v>83</v>
      </c>
      <c r="H24" s="29" t="s">
        <v>83</v>
      </c>
      <c r="I24" s="17"/>
      <c r="J24" s="93" t="s">
        <v>114</v>
      </c>
      <c r="K24" s="67">
        <v>50246.15</v>
      </c>
      <c r="L24" s="17"/>
      <c r="M24" s="187" t="str">
        <f t="shared" si="0"/>
        <v>Millet</v>
      </c>
      <c r="N24" s="218" t="s">
        <v>83</v>
      </c>
      <c r="O24" s="70" t="s">
        <v>83</v>
      </c>
      <c r="P24" s="70" t="s">
        <v>83</v>
      </c>
    </row>
    <row r="25" spans="1:16" ht="25.5">
      <c r="A25" s="19" t="s">
        <v>196</v>
      </c>
      <c r="B25" s="19" t="s">
        <v>149</v>
      </c>
      <c r="C25" s="20">
        <v>633182</v>
      </c>
      <c r="D25" s="13">
        <v>693370</v>
      </c>
      <c r="E25" s="112"/>
      <c r="F25" s="32" t="s">
        <v>83</v>
      </c>
      <c r="G25" s="33" t="s">
        <v>83</v>
      </c>
      <c r="H25" s="34">
        <f>0.1073*D25</f>
        <v>74398.60100000001</v>
      </c>
      <c r="I25" s="17"/>
      <c r="J25" s="31"/>
      <c r="K25" s="31"/>
      <c r="L25" s="17"/>
      <c r="M25" s="98" t="str">
        <f t="shared" si="0"/>
        <v>Pineapples</v>
      </c>
      <c r="N25" s="119">
        <f>(H25*600)*(4/5.67)</f>
        <v>31491471.32275133</v>
      </c>
      <c r="O25" s="132">
        <f>(0.063*D25)*13585</f>
        <v>593424181.35</v>
      </c>
      <c r="P25" s="132">
        <f>(0.0245*D25)*580</f>
        <v>9852787.700000001</v>
      </c>
    </row>
    <row r="26" spans="1:16" ht="25.5">
      <c r="A26" s="19" t="s">
        <v>211</v>
      </c>
      <c r="B26" s="19" t="s">
        <v>149</v>
      </c>
      <c r="C26" s="20">
        <v>683865</v>
      </c>
      <c r="D26" s="13">
        <v>642104</v>
      </c>
      <c r="E26" s="112"/>
      <c r="F26" s="31"/>
      <c r="G26" s="31"/>
      <c r="H26" s="31"/>
      <c r="I26" s="17"/>
      <c r="J26" s="31"/>
      <c r="K26" s="31"/>
      <c r="L26" s="17"/>
      <c r="M26" s="97"/>
      <c r="N26" s="56"/>
      <c r="O26" s="56"/>
      <c r="P26" s="56"/>
    </row>
    <row r="27" spans="1:16" ht="25.5">
      <c r="A27" s="19" t="s">
        <v>174</v>
      </c>
      <c r="B27" s="19" t="s">
        <v>149</v>
      </c>
      <c r="C27" s="20">
        <v>589932</v>
      </c>
      <c r="D27" s="13">
        <v>601073</v>
      </c>
      <c r="E27" s="112"/>
      <c r="F27" s="31"/>
      <c r="G27" s="31"/>
      <c r="H27" s="31"/>
      <c r="I27" s="17"/>
      <c r="J27" s="31"/>
      <c r="K27" s="31"/>
      <c r="L27" s="17"/>
      <c r="M27" s="97"/>
      <c r="N27" s="56"/>
      <c r="O27" s="56"/>
      <c r="P27" s="56"/>
    </row>
    <row r="28" spans="1:16" ht="25.5">
      <c r="A28" s="19" t="s">
        <v>199</v>
      </c>
      <c r="B28" s="19" t="s">
        <v>149</v>
      </c>
      <c r="C28" s="20">
        <v>508973</v>
      </c>
      <c r="D28" s="13">
        <v>511522</v>
      </c>
      <c r="E28" s="112"/>
      <c r="F28" s="38"/>
      <c r="G28" s="38"/>
      <c r="H28" s="38"/>
      <c r="I28" s="113"/>
      <c r="J28" s="38"/>
      <c r="K28" s="38"/>
      <c r="L28" s="113"/>
      <c r="M28" s="97"/>
      <c r="N28" s="56"/>
      <c r="O28" s="56"/>
      <c r="P28" s="56"/>
    </row>
    <row r="29" spans="1:16" ht="25.5">
      <c r="A29" s="19" t="s">
        <v>178</v>
      </c>
      <c r="B29" s="19" t="s">
        <v>149</v>
      </c>
      <c r="C29" s="20">
        <v>460418</v>
      </c>
      <c r="D29" s="13">
        <v>483772</v>
      </c>
      <c r="E29" s="112"/>
      <c r="F29" s="38"/>
      <c r="G29" s="38"/>
      <c r="H29" s="38"/>
      <c r="I29" s="113"/>
      <c r="J29" s="38"/>
      <c r="K29" s="38"/>
      <c r="L29" s="113"/>
      <c r="M29" s="97"/>
      <c r="N29" s="56"/>
      <c r="O29" s="56"/>
      <c r="P29" s="56"/>
    </row>
    <row r="30" spans="1:16" ht="25.5">
      <c r="A30" s="19" t="s">
        <v>153</v>
      </c>
      <c r="B30" s="19" t="s">
        <v>149</v>
      </c>
      <c r="C30" s="20">
        <v>422486</v>
      </c>
      <c r="D30" s="13">
        <v>439384</v>
      </c>
      <c r="E30" s="112"/>
      <c r="F30" s="38"/>
      <c r="G30" s="38"/>
      <c r="H30" s="38"/>
      <c r="I30" s="113"/>
      <c r="J30" s="38"/>
      <c r="K30" s="38"/>
      <c r="L30" s="113"/>
      <c r="M30" s="97"/>
      <c r="N30" s="56"/>
      <c r="O30" s="56"/>
      <c r="P30" s="56"/>
    </row>
    <row r="31" spans="1:16" ht="25.5">
      <c r="A31" s="19" t="s">
        <v>190</v>
      </c>
      <c r="B31" s="19" t="s">
        <v>149</v>
      </c>
      <c r="C31" s="20">
        <v>195160</v>
      </c>
      <c r="D31" s="13">
        <v>190958</v>
      </c>
      <c r="E31" s="112"/>
      <c r="F31" s="38"/>
      <c r="G31" s="38"/>
      <c r="H31" s="38"/>
      <c r="I31" s="113"/>
      <c r="J31" s="38"/>
      <c r="K31" s="38"/>
      <c r="L31" s="113"/>
      <c r="M31" s="97"/>
      <c r="N31" s="56"/>
      <c r="O31" s="56"/>
      <c r="P31" s="56"/>
    </row>
    <row r="32" spans="1:16" ht="25.5">
      <c r="A32" s="19" t="s">
        <v>168</v>
      </c>
      <c r="B32" s="19" t="s">
        <v>149</v>
      </c>
      <c r="C32" s="20">
        <v>175380</v>
      </c>
      <c r="D32" s="13">
        <v>176997</v>
      </c>
      <c r="E32" s="112"/>
      <c r="F32" s="38"/>
      <c r="G32" s="38"/>
      <c r="H32" s="38"/>
      <c r="I32" s="113"/>
      <c r="J32" s="38"/>
      <c r="K32" s="38"/>
      <c r="L32" s="113"/>
      <c r="M32" s="97"/>
      <c r="N32" s="56"/>
      <c r="O32" s="56"/>
      <c r="P32" s="56"/>
    </row>
    <row r="33" spans="1:16" ht="25.5">
      <c r="A33" s="19" t="s">
        <v>186</v>
      </c>
      <c r="B33" s="19" t="s">
        <v>149</v>
      </c>
      <c r="C33" s="20">
        <v>141817</v>
      </c>
      <c r="D33" s="13">
        <v>152479</v>
      </c>
      <c r="E33" s="112"/>
      <c r="F33" s="38"/>
      <c r="G33" s="38"/>
      <c r="H33" s="38"/>
      <c r="I33" s="113"/>
      <c r="J33" s="38"/>
      <c r="K33" s="38"/>
      <c r="L33" s="113"/>
      <c r="M33" s="97"/>
      <c r="N33" s="56"/>
      <c r="O33" s="56"/>
      <c r="P33" s="56"/>
    </row>
    <row r="34" spans="1:16" ht="25.5">
      <c r="A34" s="19" t="s">
        <v>197</v>
      </c>
      <c r="B34" s="19" t="s">
        <v>149</v>
      </c>
      <c r="C34" s="20">
        <v>144198</v>
      </c>
      <c r="D34" s="13">
        <v>146372</v>
      </c>
      <c r="E34" s="112"/>
      <c r="F34" s="38"/>
      <c r="G34" s="38"/>
      <c r="H34" s="38"/>
      <c r="I34" s="113"/>
      <c r="J34" s="38"/>
      <c r="K34" s="38"/>
      <c r="L34" s="113"/>
      <c r="M34" s="97"/>
      <c r="N34" s="56"/>
      <c r="O34" s="56"/>
      <c r="P34" s="56"/>
    </row>
    <row r="35" spans="1:16" ht="25.5">
      <c r="A35" s="19" t="s">
        <v>193</v>
      </c>
      <c r="B35" s="19" t="s">
        <v>149</v>
      </c>
      <c r="C35" s="20">
        <v>130246</v>
      </c>
      <c r="D35" s="13">
        <v>142800</v>
      </c>
      <c r="E35" s="112"/>
      <c r="F35" s="38"/>
      <c r="G35" s="38"/>
      <c r="H35" s="38"/>
      <c r="I35" s="113"/>
      <c r="J35" s="38"/>
      <c r="K35" s="38"/>
      <c r="L35" s="113"/>
      <c r="M35" s="97"/>
      <c r="N35" s="56"/>
      <c r="O35" s="56"/>
      <c r="P35" s="56"/>
    </row>
    <row r="36" spans="1:16" ht="25.5">
      <c r="A36" s="19" t="s">
        <v>205</v>
      </c>
      <c r="B36" s="19" t="s">
        <v>149</v>
      </c>
      <c r="C36" s="20">
        <v>134743</v>
      </c>
      <c r="D36" s="13">
        <v>139473</v>
      </c>
      <c r="E36" s="112"/>
      <c r="F36" s="38"/>
      <c r="G36" s="38"/>
      <c r="H36" s="38"/>
      <c r="I36" s="113"/>
      <c r="J36" s="38"/>
      <c r="K36" s="38"/>
      <c r="L36" s="113"/>
      <c r="M36" s="97"/>
      <c r="N36" s="56"/>
      <c r="O36" s="56"/>
      <c r="P36" s="56"/>
    </row>
    <row r="37" spans="1:16" ht="25.5">
      <c r="A37" s="19" t="s">
        <v>61</v>
      </c>
      <c r="B37" s="19" t="s">
        <v>149</v>
      </c>
      <c r="C37" s="20">
        <v>125439</v>
      </c>
      <c r="D37" s="13">
        <v>127954</v>
      </c>
      <c r="E37" s="112"/>
      <c r="F37" s="38"/>
      <c r="G37" s="38"/>
      <c r="H37" s="38"/>
      <c r="I37" s="113"/>
      <c r="J37" s="38"/>
      <c r="K37" s="38"/>
      <c r="L37" s="113"/>
      <c r="M37" s="97"/>
      <c r="N37" s="56"/>
      <c r="O37" s="56"/>
      <c r="P37" s="56"/>
    </row>
    <row r="38" spans="1:16" ht="25.5">
      <c r="A38" s="19" t="s">
        <v>170</v>
      </c>
      <c r="B38" s="19" t="s">
        <v>149</v>
      </c>
      <c r="C38" s="20">
        <v>114423</v>
      </c>
      <c r="D38" s="13">
        <v>126311</v>
      </c>
      <c r="E38" s="112"/>
      <c r="F38" s="38"/>
      <c r="G38" s="38"/>
      <c r="H38" s="38"/>
      <c r="I38" s="113"/>
      <c r="J38" s="38"/>
      <c r="K38" s="38"/>
      <c r="L38" s="113"/>
      <c r="M38" s="97"/>
      <c r="N38" s="56"/>
      <c r="O38" s="56"/>
      <c r="P38" s="56"/>
    </row>
    <row r="39" spans="1:16" ht="25.5">
      <c r="A39" s="19" t="s">
        <v>183</v>
      </c>
      <c r="B39" s="19" t="s">
        <v>149</v>
      </c>
      <c r="C39" s="20">
        <v>121797</v>
      </c>
      <c r="D39" s="13">
        <v>113432</v>
      </c>
      <c r="E39" s="112"/>
      <c r="F39" s="38"/>
      <c r="G39" s="38"/>
      <c r="H39" s="38"/>
      <c r="I39" s="113"/>
      <c r="J39" s="38"/>
      <c r="K39" s="38"/>
      <c r="L39" s="113"/>
      <c r="M39" s="97"/>
      <c r="N39" s="56"/>
      <c r="O39" s="56"/>
      <c r="P39" s="56"/>
    </row>
    <row r="40" spans="1:16" ht="25.5">
      <c r="A40" s="19" t="s">
        <v>195</v>
      </c>
      <c r="B40" s="19" t="s">
        <v>149</v>
      </c>
      <c r="C40" s="20">
        <v>85210</v>
      </c>
      <c r="D40" s="13">
        <v>88778</v>
      </c>
      <c r="E40" s="112"/>
      <c r="F40" s="38"/>
      <c r="G40" s="38"/>
      <c r="H40" s="38"/>
      <c r="I40" s="113"/>
      <c r="J40" s="38"/>
      <c r="K40" s="38"/>
      <c r="L40" s="113"/>
      <c r="M40" s="97"/>
      <c r="N40" s="56"/>
      <c r="O40" s="56"/>
      <c r="P40" s="56"/>
    </row>
    <row r="41" spans="1:16" ht="25.5">
      <c r="A41" s="19" t="s">
        <v>223</v>
      </c>
      <c r="B41" s="19" t="s">
        <v>149</v>
      </c>
      <c r="C41" s="20">
        <v>108875</v>
      </c>
      <c r="D41" s="13">
        <v>87587</v>
      </c>
      <c r="E41" s="112"/>
      <c r="F41" s="38"/>
      <c r="G41" s="38"/>
      <c r="H41" s="38"/>
      <c r="I41" s="113"/>
      <c r="J41" s="38"/>
      <c r="K41" s="38"/>
      <c r="L41" s="113"/>
      <c r="M41" s="97"/>
      <c r="N41" s="56"/>
      <c r="O41" s="56"/>
      <c r="P41" s="56"/>
    </row>
    <row r="42" spans="1:16" ht="25.5">
      <c r="A42" s="19" t="s">
        <v>50</v>
      </c>
      <c r="B42" s="19" t="s">
        <v>149</v>
      </c>
      <c r="C42" s="20">
        <v>67464</v>
      </c>
      <c r="D42" s="13">
        <v>65780</v>
      </c>
      <c r="E42" s="112"/>
      <c r="F42" s="38"/>
      <c r="G42" s="38"/>
      <c r="H42" s="38"/>
      <c r="I42" s="113"/>
      <c r="J42" s="38"/>
      <c r="K42" s="38"/>
      <c r="L42" s="113"/>
      <c r="M42" s="97"/>
      <c r="N42" s="56"/>
      <c r="O42" s="56"/>
      <c r="P42" s="56"/>
    </row>
    <row r="43" spans="1:16" ht="25.5">
      <c r="A43" s="19" t="s">
        <v>159</v>
      </c>
      <c r="B43" s="19" t="s">
        <v>149</v>
      </c>
      <c r="C43" s="20">
        <v>59911</v>
      </c>
      <c r="D43" s="13">
        <v>64160</v>
      </c>
      <c r="E43" s="112"/>
      <c r="F43" s="38"/>
      <c r="G43" s="38"/>
      <c r="H43" s="38"/>
      <c r="I43" s="113"/>
      <c r="J43" s="38"/>
      <c r="K43" s="38"/>
      <c r="L43" s="113"/>
      <c r="M43" s="97"/>
      <c r="N43" s="57"/>
      <c r="O43" s="57"/>
      <c r="P43" s="57"/>
    </row>
    <row r="44" spans="1:16" ht="25.5">
      <c r="A44" s="19" t="s">
        <v>187</v>
      </c>
      <c r="B44" s="19" t="s">
        <v>149</v>
      </c>
      <c r="C44" s="20">
        <v>131883</v>
      </c>
      <c r="D44" s="13">
        <v>58568</v>
      </c>
      <c r="E44" s="112"/>
      <c r="F44" s="38"/>
      <c r="G44" s="38"/>
      <c r="H44" s="38"/>
      <c r="I44" s="113"/>
      <c r="J44" s="38"/>
      <c r="K44" s="38"/>
      <c r="L44" s="113"/>
      <c r="M44" s="97"/>
      <c r="N44" s="57"/>
      <c r="O44" s="57"/>
      <c r="P44" s="57"/>
    </row>
    <row r="45" spans="1:16" ht="25.5">
      <c r="A45" s="19" t="s">
        <v>206</v>
      </c>
      <c r="B45" s="19" t="s">
        <v>149</v>
      </c>
      <c r="C45" s="20">
        <v>59733</v>
      </c>
      <c r="D45" s="13">
        <v>58339</v>
      </c>
      <c r="E45" s="112"/>
      <c r="F45" s="38"/>
      <c r="G45" s="38"/>
      <c r="H45" s="38"/>
      <c r="I45" s="113"/>
      <c r="J45" s="38"/>
      <c r="K45" s="38"/>
      <c r="L45" s="113"/>
      <c r="M45" s="97"/>
      <c r="N45" s="57"/>
      <c r="O45" s="57"/>
      <c r="P45" s="57"/>
    </row>
    <row r="46" spans="1:16" ht="25.5">
      <c r="A46" s="19" t="s">
        <v>155</v>
      </c>
      <c r="B46" s="19" t="s">
        <v>149</v>
      </c>
      <c r="C46" s="20">
        <v>55946</v>
      </c>
      <c r="D46" s="13">
        <v>57253</v>
      </c>
      <c r="E46" s="112"/>
      <c r="F46" s="38"/>
      <c r="G46" s="38"/>
      <c r="H46" s="38"/>
      <c r="I46" s="113"/>
      <c r="J46" s="38"/>
      <c r="K46" s="38"/>
      <c r="L46" s="113"/>
      <c r="M46" s="97"/>
      <c r="N46" s="57"/>
      <c r="O46" s="57"/>
      <c r="P46" s="57"/>
    </row>
    <row r="47" spans="1:16" ht="25.5">
      <c r="A47" s="19" t="s">
        <v>56</v>
      </c>
      <c r="B47" s="19" t="s">
        <v>149</v>
      </c>
      <c r="C47" s="20">
        <v>55946</v>
      </c>
      <c r="D47" s="13">
        <v>57253</v>
      </c>
      <c r="E47" s="112"/>
      <c r="F47" s="38"/>
      <c r="G47" s="38"/>
      <c r="H47" s="38"/>
      <c r="I47" s="113"/>
      <c r="J47" s="38"/>
      <c r="K47" s="38"/>
      <c r="L47" s="113"/>
      <c r="M47" s="97"/>
      <c r="N47" s="57"/>
      <c r="O47" s="57"/>
      <c r="P47" s="57"/>
    </row>
    <row r="48" spans="1:16" ht="25.5">
      <c r="A48" s="19" t="s">
        <v>207</v>
      </c>
      <c r="B48" s="19" t="s">
        <v>149</v>
      </c>
      <c r="C48" s="20">
        <v>56519</v>
      </c>
      <c r="D48" s="13">
        <v>54246</v>
      </c>
      <c r="E48" s="112"/>
      <c r="F48" s="38"/>
      <c r="G48" s="38"/>
      <c r="H48" s="38"/>
      <c r="I48" s="113"/>
      <c r="J48" s="38"/>
      <c r="K48" s="38"/>
      <c r="L48" s="113"/>
      <c r="M48" s="97"/>
      <c r="N48" s="56"/>
      <c r="O48" s="56"/>
      <c r="P48" s="56"/>
    </row>
    <row r="49" spans="1:16" ht="25.5">
      <c r="A49" s="19" t="s">
        <v>49</v>
      </c>
      <c r="B49" s="19" t="s">
        <v>149</v>
      </c>
      <c r="C49" s="20">
        <v>49963</v>
      </c>
      <c r="D49" s="13">
        <v>54245</v>
      </c>
      <c r="E49" s="112"/>
      <c r="F49" s="38"/>
      <c r="G49" s="38"/>
      <c r="H49" s="38"/>
      <c r="I49" s="113"/>
      <c r="J49" s="38"/>
      <c r="K49" s="38"/>
      <c r="L49" s="113"/>
      <c r="M49" s="97"/>
      <c r="N49" s="57"/>
      <c r="O49" s="57"/>
      <c r="P49" s="57"/>
    </row>
    <row r="50" spans="1:16" ht="25.5">
      <c r="A50" s="19" t="s">
        <v>184</v>
      </c>
      <c r="B50" s="19" t="s">
        <v>149</v>
      </c>
      <c r="C50" s="20">
        <v>63797</v>
      </c>
      <c r="D50" s="13">
        <v>53584</v>
      </c>
      <c r="E50" s="112"/>
      <c r="F50" s="38"/>
      <c r="G50" s="38"/>
      <c r="H50" s="38"/>
      <c r="I50" s="113"/>
      <c r="J50" s="38"/>
      <c r="K50" s="38"/>
      <c r="L50" s="113"/>
      <c r="M50" s="97"/>
      <c r="N50" s="57"/>
      <c r="O50" s="57"/>
      <c r="P50" s="57"/>
    </row>
    <row r="51" spans="1:16" ht="25.5">
      <c r="A51" s="19" t="s">
        <v>164</v>
      </c>
      <c r="B51" s="19" t="s">
        <v>149</v>
      </c>
      <c r="C51" s="20">
        <v>39171</v>
      </c>
      <c r="D51" s="13">
        <v>40879</v>
      </c>
      <c r="E51" s="112"/>
      <c r="F51" s="38"/>
      <c r="G51" s="38"/>
      <c r="H51" s="38"/>
      <c r="I51" s="113"/>
      <c r="J51" s="38"/>
      <c r="K51" s="38"/>
      <c r="L51" s="113"/>
      <c r="M51" s="97"/>
      <c r="N51" s="56"/>
      <c r="O51" s="56"/>
      <c r="P51" s="56"/>
    </row>
    <row r="52" spans="1:16" ht="25.5">
      <c r="A52" s="19" t="s">
        <v>158</v>
      </c>
      <c r="B52" s="19" t="s">
        <v>149</v>
      </c>
      <c r="C52" s="20">
        <v>47344</v>
      </c>
      <c r="D52" s="13">
        <v>38386</v>
      </c>
      <c r="E52" s="112"/>
      <c r="F52" s="38"/>
      <c r="G52" s="38"/>
      <c r="H52" s="38"/>
      <c r="I52" s="113"/>
      <c r="J52" s="38"/>
      <c r="K52" s="38"/>
      <c r="L52" s="113"/>
      <c r="M52" s="97"/>
      <c r="N52" s="57"/>
      <c r="O52" s="57"/>
      <c r="P52" s="57"/>
    </row>
    <row r="53" spans="1:16" ht="25.5">
      <c r="A53" s="19" t="s">
        <v>221</v>
      </c>
      <c r="B53" s="19" t="s">
        <v>149</v>
      </c>
      <c r="C53" s="20">
        <v>48104</v>
      </c>
      <c r="D53" s="13">
        <v>35468</v>
      </c>
      <c r="E53" s="112"/>
      <c r="F53" s="38"/>
      <c r="G53" s="38"/>
      <c r="H53" s="38"/>
      <c r="I53" s="113"/>
      <c r="J53" s="38"/>
      <c r="K53" s="38"/>
      <c r="L53" s="113"/>
      <c r="M53" s="97"/>
      <c r="N53" s="57"/>
      <c r="O53" s="57"/>
      <c r="P53" s="57"/>
    </row>
    <row r="54" spans="1:16" ht="25.5">
      <c r="A54" s="19" t="s">
        <v>68</v>
      </c>
      <c r="B54" s="19" t="s">
        <v>149</v>
      </c>
      <c r="C54" s="20">
        <v>48104</v>
      </c>
      <c r="D54" s="13">
        <v>35468</v>
      </c>
      <c r="E54" s="112"/>
      <c r="F54" s="38"/>
      <c r="G54" s="38"/>
      <c r="H54" s="38"/>
      <c r="I54" s="113"/>
      <c r="J54" s="38"/>
      <c r="K54" s="38"/>
      <c r="L54" s="113"/>
      <c r="M54" s="97"/>
      <c r="N54" s="57"/>
      <c r="O54" s="57"/>
      <c r="P54" s="57"/>
    </row>
    <row r="55" spans="1:16" ht="25.5">
      <c r="A55" s="19" t="s">
        <v>215</v>
      </c>
      <c r="B55" s="19" t="s">
        <v>149</v>
      </c>
      <c r="C55" s="20">
        <v>47893</v>
      </c>
      <c r="D55" s="13">
        <v>35244</v>
      </c>
      <c r="E55" s="112"/>
      <c r="F55" s="38"/>
      <c r="G55" s="38"/>
      <c r="H55" s="38"/>
      <c r="I55" s="113"/>
      <c r="J55" s="38"/>
      <c r="K55" s="38"/>
      <c r="L55" s="113"/>
      <c r="M55" s="97"/>
      <c r="N55" s="57"/>
      <c r="O55" s="57"/>
      <c r="P55" s="57"/>
    </row>
    <row r="56" spans="1:16" ht="25.5">
      <c r="A56" s="19" t="s">
        <v>222</v>
      </c>
      <c r="B56" s="19" t="s">
        <v>149</v>
      </c>
      <c r="C56" s="20">
        <v>44061</v>
      </c>
      <c r="D56" s="13">
        <v>32424</v>
      </c>
      <c r="E56" s="112"/>
      <c r="F56" s="38"/>
      <c r="G56" s="38"/>
      <c r="H56" s="38"/>
      <c r="I56" s="113"/>
      <c r="J56" s="38"/>
      <c r="K56" s="38"/>
      <c r="L56" s="113"/>
      <c r="M56" s="97"/>
      <c r="N56" s="57"/>
      <c r="O56" s="57"/>
      <c r="P56" s="57"/>
    </row>
    <row r="57" spans="1:16" ht="25.5">
      <c r="A57" s="19" t="s">
        <v>214</v>
      </c>
      <c r="B57" s="19" t="s">
        <v>149</v>
      </c>
      <c r="C57" s="20">
        <v>29281</v>
      </c>
      <c r="D57" s="13">
        <v>28775</v>
      </c>
      <c r="E57" s="112"/>
      <c r="F57" s="38"/>
      <c r="G57" s="38"/>
      <c r="H57" s="38"/>
      <c r="I57" s="113"/>
      <c r="J57" s="38"/>
      <c r="K57" s="38"/>
      <c r="L57" s="113"/>
      <c r="M57" s="97"/>
      <c r="N57" s="57"/>
      <c r="O57" s="57"/>
      <c r="P57" s="57"/>
    </row>
    <row r="58" spans="1:16" ht="25.5">
      <c r="A58" s="19" t="s">
        <v>191</v>
      </c>
      <c r="B58" s="19" t="s">
        <v>149</v>
      </c>
      <c r="C58" s="20">
        <v>21916</v>
      </c>
      <c r="D58" s="13">
        <v>22192</v>
      </c>
      <c r="E58" s="112"/>
      <c r="F58" s="38"/>
      <c r="G58" s="38"/>
      <c r="H58" s="38"/>
      <c r="I58" s="113"/>
      <c r="J58" s="38"/>
      <c r="K58" s="38"/>
      <c r="L58" s="113"/>
      <c r="M58" s="97"/>
      <c r="N58" s="57"/>
      <c r="O58" s="57"/>
      <c r="P58" s="57"/>
    </row>
    <row r="59" spans="1:16" ht="25.5">
      <c r="A59" s="19" t="s">
        <v>55</v>
      </c>
      <c r="B59" s="19" t="s">
        <v>149</v>
      </c>
      <c r="C59" s="20">
        <v>11114</v>
      </c>
      <c r="D59" s="13">
        <v>10983</v>
      </c>
      <c r="E59" s="112"/>
      <c r="F59" s="38"/>
      <c r="G59" s="38"/>
      <c r="H59" s="38"/>
      <c r="I59" s="113"/>
      <c r="J59" s="38"/>
      <c r="K59" s="38"/>
      <c r="L59" s="113"/>
      <c r="M59" s="97"/>
      <c r="N59" s="57"/>
      <c r="O59" s="57"/>
      <c r="P59" s="57"/>
    </row>
    <row r="60" spans="1:16" ht="25.5">
      <c r="A60" s="19" t="s">
        <v>216</v>
      </c>
      <c r="B60" s="19" t="s">
        <v>149</v>
      </c>
      <c r="C60" s="20">
        <v>8366</v>
      </c>
      <c r="D60" s="13">
        <v>8542</v>
      </c>
      <c r="E60" s="112"/>
      <c r="F60" s="38"/>
      <c r="G60" s="38"/>
      <c r="H60" s="38"/>
      <c r="I60" s="113"/>
      <c r="J60" s="38"/>
      <c r="K60" s="38"/>
      <c r="L60" s="113"/>
      <c r="M60" s="97"/>
      <c r="N60" s="57"/>
      <c r="O60" s="57"/>
      <c r="P60" s="57"/>
    </row>
    <row r="61" spans="1:16" ht="25.5">
      <c r="A61" s="19" t="s">
        <v>194</v>
      </c>
      <c r="B61" s="19" t="s">
        <v>149</v>
      </c>
      <c r="C61" s="20">
        <v>7847</v>
      </c>
      <c r="D61" s="13">
        <v>6381</v>
      </c>
      <c r="E61" s="112"/>
      <c r="F61" s="38"/>
      <c r="G61" s="38"/>
      <c r="H61" s="38"/>
      <c r="I61" s="113"/>
      <c r="J61" s="38"/>
      <c r="K61" s="38"/>
      <c r="L61" s="113"/>
      <c r="M61" s="97"/>
      <c r="N61" s="57"/>
      <c r="O61" s="57"/>
      <c r="P61" s="57"/>
    </row>
    <row r="62" spans="1:16" ht="25.5">
      <c r="A62" s="19" t="s">
        <v>212</v>
      </c>
      <c r="B62" s="19" t="s">
        <v>149</v>
      </c>
      <c r="C62" s="20">
        <v>5149</v>
      </c>
      <c r="D62" s="13">
        <v>5756</v>
      </c>
      <c r="E62" s="112"/>
      <c r="F62" s="38"/>
      <c r="G62" s="38"/>
      <c r="H62" s="38"/>
      <c r="I62" s="113"/>
      <c r="J62" s="38"/>
      <c r="K62" s="38"/>
      <c r="L62" s="113"/>
      <c r="M62" s="97"/>
      <c r="N62" s="57"/>
      <c r="O62" s="57"/>
      <c r="P62" s="57"/>
    </row>
    <row r="63" spans="1:16" ht="25.5">
      <c r="A63" s="19" t="s">
        <v>160</v>
      </c>
      <c r="B63" s="19" t="s">
        <v>149</v>
      </c>
      <c r="C63" s="20">
        <v>3101</v>
      </c>
      <c r="D63" s="13">
        <v>4020</v>
      </c>
      <c r="E63" s="112"/>
      <c r="F63" s="38"/>
      <c r="G63" s="38"/>
      <c r="H63" s="38"/>
      <c r="I63" s="113"/>
      <c r="J63" s="38"/>
      <c r="K63" s="38"/>
      <c r="L63" s="113"/>
      <c r="M63" s="97"/>
      <c r="N63" s="57"/>
      <c r="O63" s="57"/>
      <c r="P63" s="57"/>
    </row>
    <row r="64" spans="1:16" ht="25.5">
      <c r="A64" s="19" t="s">
        <v>156</v>
      </c>
      <c r="B64" s="19" t="s">
        <v>149</v>
      </c>
      <c r="C64" s="20">
        <v>2839</v>
      </c>
      <c r="D64" s="13">
        <v>3176</v>
      </c>
      <c r="E64" s="112"/>
      <c r="F64" s="38"/>
      <c r="G64" s="38"/>
      <c r="H64" s="38"/>
      <c r="I64" s="113"/>
      <c r="J64" s="38"/>
      <c r="K64" s="38"/>
      <c r="L64" s="113"/>
      <c r="M64" s="97"/>
      <c r="N64" s="57"/>
      <c r="O64" s="57"/>
      <c r="P64" s="57"/>
    </row>
    <row r="65" spans="1:16" ht="25.5">
      <c r="A65" s="19" t="s">
        <v>182</v>
      </c>
      <c r="B65" s="19" t="s">
        <v>149</v>
      </c>
      <c r="C65" s="20">
        <v>2531</v>
      </c>
      <c r="D65" s="13">
        <v>2527</v>
      </c>
      <c r="E65" s="112"/>
      <c r="F65" s="38"/>
      <c r="G65" s="38"/>
      <c r="H65" s="38"/>
      <c r="I65" s="113"/>
      <c r="J65" s="38"/>
      <c r="K65" s="38"/>
      <c r="L65" s="113"/>
      <c r="M65" s="97"/>
      <c r="N65" s="57"/>
      <c r="O65" s="57"/>
      <c r="P65" s="57"/>
    </row>
    <row r="66" spans="1:16" ht="25.5">
      <c r="A66" s="19" t="s">
        <v>210</v>
      </c>
      <c r="B66" s="19" t="s">
        <v>149</v>
      </c>
      <c r="C66" s="20">
        <v>1800</v>
      </c>
      <c r="D66" s="13">
        <v>1800</v>
      </c>
      <c r="E66" s="112"/>
      <c r="F66" s="38"/>
      <c r="G66" s="38"/>
      <c r="H66" s="38"/>
      <c r="I66" s="113"/>
      <c r="J66" s="38"/>
      <c r="K66" s="38"/>
      <c r="L66" s="113"/>
      <c r="M66" s="97"/>
      <c r="N66" s="57"/>
      <c r="O66" s="57"/>
      <c r="P66" s="57"/>
    </row>
    <row r="67" spans="1:16" ht="25.5">
      <c r="A67" s="19" t="s">
        <v>180</v>
      </c>
      <c r="B67" s="19" t="s">
        <v>149</v>
      </c>
      <c r="C67" s="20">
        <v>1661</v>
      </c>
      <c r="D67" s="13">
        <v>1715</v>
      </c>
      <c r="E67" s="112"/>
      <c r="F67" s="38"/>
      <c r="G67" s="38"/>
      <c r="H67" s="38"/>
      <c r="I67" s="113"/>
      <c r="J67" s="38"/>
      <c r="K67" s="38"/>
      <c r="L67" s="113"/>
      <c r="M67" s="97"/>
      <c r="N67" s="57"/>
      <c r="O67" s="57"/>
      <c r="P67" s="57"/>
    </row>
    <row r="68" spans="1:16" ht="25.5">
      <c r="A68" s="19" t="s">
        <v>177</v>
      </c>
      <c r="B68" s="19" t="s">
        <v>149</v>
      </c>
      <c r="C68" s="20">
        <v>1300</v>
      </c>
      <c r="D68" s="13">
        <v>1300</v>
      </c>
      <c r="E68" s="112"/>
      <c r="F68" s="38"/>
      <c r="G68" s="38"/>
      <c r="H68" s="38"/>
      <c r="I68" s="113"/>
      <c r="J68" s="38"/>
      <c r="K68" s="38"/>
      <c r="L68" s="113"/>
      <c r="M68" s="97"/>
      <c r="N68" s="57"/>
      <c r="O68" s="57"/>
      <c r="P68" s="57"/>
    </row>
    <row r="69" spans="1:16" ht="25.5">
      <c r="A69" s="19" t="s">
        <v>176</v>
      </c>
      <c r="B69" s="19" t="s">
        <v>149</v>
      </c>
      <c r="C69" s="20">
        <v>618</v>
      </c>
      <c r="D69" s="13">
        <v>850</v>
      </c>
      <c r="E69" s="112"/>
      <c r="F69" s="38"/>
      <c r="G69" s="38"/>
      <c r="H69" s="38"/>
      <c r="I69" s="113"/>
      <c r="J69" s="38"/>
      <c r="K69" s="38"/>
      <c r="L69" s="113"/>
      <c r="M69" s="97"/>
      <c r="N69" s="57"/>
      <c r="O69" s="57"/>
      <c r="P69" s="57"/>
    </row>
    <row r="70" spans="1:16" ht="25.5">
      <c r="A70" s="19" t="s">
        <v>185</v>
      </c>
      <c r="B70" s="19" t="s">
        <v>149</v>
      </c>
      <c r="C70" s="20">
        <v>1319</v>
      </c>
      <c r="D70" s="13">
        <v>768</v>
      </c>
      <c r="E70" s="112"/>
      <c r="F70" s="38"/>
      <c r="G70" s="38"/>
      <c r="H70" s="38"/>
      <c r="I70" s="113"/>
      <c r="J70" s="38"/>
      <c r="K70" s="38"/>
      <c r="L70" s="113"/>
      <c r="M70" s="97"/>
      <c r="N70" s="57"/>
      <c r="O70" s="57"/>
      <c r="P70" s="57"/>
    </row>
    <row r="71" spans="1:16" ht="25.5">
      <c r="A71" s="19" t="s">
        <v>208</v>
      </c>
      <c r="B71" s="19" t="s">
        <v>149</v>
      </c>
      <c r="C71" s="20">
        <v>276</v>
      </c>
      <c r="D71" s="13">
        <v>287</v>
      </c>
      <c r="E71" s="112"/>
      <c r="F71" s="38"/>
      <c r="G71" s="38"/>
      <c r="H71" s="38"/>
      <c r="I71" s="113"/>
      <c r="J71" s="38"/>
      <c r="K71" s="38"/>
      <c r="L71" s="113"/>
      <c r="M71" s="97"/>
      <c r="N71" s="73"/>
      <c r="O71" s="73"/>
      <c r="P71" s="73"/>
    </row>
    <row r="72" spans="1:16" ht="25.5">
      <c r="A72" s="19" t="s">
        <v>46</v>
      </c>
      <c r="B72" s="19" t="s">
        <v>149</v>
      </c>
      <c r="C72" s="20">
        <v>134</v>
      </c>
      <c r="D72" s="13">
        <v>131</v>
      </c>
      <c r="E72" s="112"/>
      <c r="F72" s="38"/>
      <c r="G72" s="38"/>
      <c r="H72" s="38"/>
      <c r="I72" s="113"/>
      <c r="J72" s="38"/>
      <c r="K72" s="38"/>
      <c r="L72" s="113"/>
      <c r="M72" s="97"/>
      <c r="N72" s="73"/>
      <c r="O72" s="73"/>
      <c r="P72" s="73"/>
    </row>
    <row r="73" spans="1:16" ht="25.5">
      <c r="A73" s="19" t="s">
        <v>48</v>
      </c>
      <c r="B73" s="19" t="s">
        <v>149</v>
      </c>
      <c r="C73" s="20">
        <v>121</v>
      </c>
      <c r="D73" s="13">
        <v>124</v>
      </c>
      <c r="E73" s="112"/>
      <c r="F73" s="38"/>
      <c r="G73" s="38"/>
      <c r="H73" s="38"/>
      <c r="I73" s="113"/>
      <c r="J73" s="38"/>
      <c r="K73" s="38"/>
      <c r="L73" s="113"/>
      <c r="M73" s="97"/>
      <c r="N73" s="73"/>
      <c r="O73" s="73"/>
      <c r="P73" s="73"/>
    </row>
    <row r="74" spans="1:16" ht="25.5">
      <c r="A74" s="19" t="s">
        <v>161</v>
      </c>
      <c r="B74" s="19" t="s">
        <v>149</v>
      </c>
      <c r="C74" s="20">
        <v>111</v>
      </c>
      <c r="D74" s="13">
        <v>106</v>
      </c>
      <c r="E74" s="112"/>
      <c r="F74" s="38"/>
      <c r="G74" s="38"/>
      <c r="H74" s="38"/>
      <c r="I74" s="113"/>
      <c r="J74" s="38"/>
      <c r="K74" s="38"/>
      <c r="L74" s="113"/>
      <c r="M74" s="97"/>
      <c r="N74" s="73"/>
      <c r="O74" s="73"/>
      <c r="P74" s="73"/>
    </row>
    <row r="75" spans="1:16" ht="25.5">
      <c r="A75" s="19" t="s">
        <v>220</v>
      </c>
      <c r="B75" s="19" t="s">
        <v>149</v>
      </c>
      <c r="C75" s="20">
        <v>90</v>
      </c>
      <c r="D75" s="13">
        <v>100</v>
      </c>
      <c r="E75" s="112"/>
      <c r="F75" s="38"/>
      <c r="G75" s="38"/>
      <c r="H75" s="38"/>
      <c r="I75" s="113"/>
      <c r="J75" s="38"/>
      <c r="K75" s="38"/>
      <c r="L75" s="113"/>
      <c r="M75" s="97"/>
      <c r="N75" s="73"/>
      <c r="O75" s="73"/>
      <c r="P75" s="73"/>
    </row>
    <row r="76" spans="1:16" ht="25.5">
      <c r="A76" s="19" t="s">
        <v>167</v>
      </c>
      <c r="B76" s="19" t="s">
        <v>149</v>
      </c>
      <c r="C76" s="20">
        <v>68</v>
      </c>
      <c r="D76" s="13">
        <v>67</v>
      </c>
      <c r="E76" s="112"/>
      <c r="F76" s="38"/>
      <c r="G76" s="38"/>
      <c r="H76" s="38"/>
      <c r="I76" s="113"/>
      <c r="J76" s="38"/>
      <c r="K76" s="38"/>
      <c r="L76" s="113"/>
      <c r="M76" s="97"/>
      <c r="N76" s="73"/>
      <c r="O76" s="73"/>
      <c r="P76" s="73"/>
    </row>
    <row r="77" spans="1:16" ht="25.5">
      <c r="A77" s="19" t="s">
        <v>172</v>
      </c>
      <c r="B77" s="19" t="s">
        <v>149</v>
      </c>
      <c r="C77" s="20">
        <v>8</v>
      </c>
      <c r="D77" s="13">
        <v>7</v>
      </c>
      <c r="E77" s="112"/>
      <c r="F77" s="38"/>
      <c r="G77" s="38"/>
      <c r="H77" s="38"/>
      <c r="I77" s="113"/>
      <c r="J77" s="38"/>
      <c r="K77" s="38"/>
      <c r="L77" s="113"/>
      <c r="M77" s="97"/>
      <c r="N77" s="73"/>
      <c r="O77" s="73"/>
      <c r="P77" s="73"/>
    </row>
    <row r="78" spans="1:16" ht="25.5">
      <c r="A78" s="19" t="s">
        <v>192</v>
      </c>
      <c r="B78" s="19" t="s">
        <v>149</v>
      </c>
      <c r="C78" s="20">
        <v>0</v>
      </c>
      <c r="D78" s="13">
        <v>0</v>
      </c>
      <c r="E78" s="112"/>
      <c r="F78" s="38"/>
      <c r="G78" s="38"/>
      <c r="H78" s="38"/>
      <c r="I78" s="113"/>
      <c r="J78" s="38"/>
      <c r="K78" s="38"/>
      <c r="L78" s="113"/>
      <c r="M78" s="97"/>
      <c r="N78" s="73"/>
      <c r="O78" s="73"/>
      <c r="P78" s="73"/>
    </row>
    <row r="81" spans="1:5" ht="15.75">
      <c r="A81" s="220" t="s">
        <v>35</v>
      </c>
      <c r="B81" s="224" t="s">
        <v>45</v>
      </c>
      <c r="C81" s="221"/>
      <c r="D81" s="221"/>
      <c r="E81" s="221"/>
    </row>
    <row r="82" ht="12.75">
      <c r="B82" s="9" t="s">
        <v>240</v>
      </c>
    </row>
  </sheetData>
  <mergeCells count="4">
    <mergeCell ref="M2:P2"/>
    <mergeCell ref="F3:H3"/>
    <mergeCell ref="A3:D3"/>
    <mergeCell ref="J3:K3"/>
  </mergeCells>
  <hyperlinks>
    <hyperlink ref="B81" r:id="rId1" display="http://faostat.fao.org/site/616/default.aspx#ancor"/>
  </hyperlinks>
  <printOptions/>
  <pageMargins left="0.787401575" right="0.787401575" top="1" bottom="1" header="0" footer="0"/>
  <pageSetup orientation="portrait" paperSize="9"/>
  <ignoredErrors>
    <ignoredError sqref="O7 O11:O12" formula="1"/>
  </ignoredErrors>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P79"/>
  <sheetViews>
    <sheetView zoomScale="90" zoomScaleNormal="90" zoomScalePageLayoutView="90" workbookViewId="0" topLeftCell="A1">
      <selection activeCell="O7" sqref="O7"/>
    </sheetView>
  </sheetViews>
  <sheetFormatPr defaultColWidth="11.00390625" defaultRowHeight="12.75"/>
  <cols>
    <col min="1" max="1" width="21.00390625" style="9" customWidth="1"/>
    <col min="2" max="2" width="9.625" style="9" customWidth="1"/>
    <col min="3" max="3" width="8.25390625" style="9" customWidth="1"/>
    <col min="4" max="4" width="9.00390625" style="9" customWidth="1"/>
    <col min="5" max="5" width="4.25390625" style="9" customWidth="1"/>
    <col min="6" max="6" width="13.125" style="0" bestFit="1" customWidth="1"/>
    <col min="7" max="7" width="10.75390625" style="0" bestFit="1" customWidth="1"/>
    <col min="8" max="8" width="9.375" style="0" customWidth="1"/>
    <col min="9" max="9" width="5.25390625" style="0" customWidth="1"/>
    <col min="10" max="10" width="16.875" style="0" bestFit="1" customWidth="1"/>
    <col min="11" max="11" width="14.625" style="0" customWidth="1"/>
    <col min="12" max="12" width="4.75390625" style="0" customWidth="1"/>
    <col min="13" max="13" width="17.25390625" style="0" customWidth="1"/>
    <col min="14" max="14" width="16.75390625" style="0" customWidth="1"/>
    <col min="15" max="15" width="16.375" style="0" customWidth="1"/>
    <col min="16" max="16" width="20.25390625" style="0" customWidth="1"/>
    <col min="17" max="16384" width="11.00390625" style="9" customWidth="1"/>
  </cols>
  <sheetData>
    <row r="2" spans="1:16" ht="15">
      <c r="A2" s="164"/>
      <c r="B2" s="164"/>
      <c r="C2" s="164"/>
      <c r="D2" s="164"/>
      <c r="E2" s="164"/>
      <c r="F2" s="172"/>
      <c r="G2" s="172"/>
      <c r="H2" s="172"/>
      <c r="I2" s="172"/>
      <c r="J2" s="172"/>
      <c r="K2" s="172"/>
      <c r="L2" s="172"/>
      <c r="M2" s="258" t="s">
        <v>84</v>
      </c>
      <c r="N2" s="259"/>
      <c r="O2" s="259"/>
      <c r="P2" s="260"/>
    </row>
    <row r="3" spans="1:16" ht="15">
      <c r="A3" s="266" t="s">
        <v>235</v>
      </c>
      <c r="B3" s="266"/>
      <c r="C3" s="266"/>
      <c r="D3" s="267"/>
      <c r="E3" s="164"/>
      <c r="F3" s="258" t="s">
        <v>76</v>
      </c>
      <c r="G3" s="259"/>
      <c r="H3" s="260"/>
      <c r="I3" s="167"/>
      <c r="J3" s="261" t="s">
        <v>104</v>
      </c>
      <c r="K3" s="261"/>
      <c r="L3" s="167"/>
      <c r="M3" s="168"/>
      <c r="N3" s="169"/>
      <c r="O3" s="170"/>
      <c r="P3" s="219" t="s">
        <v>86</v>
      </c>
    </row>
    <row r="4" spans="1:16" ht="14.25" customHeight="1">
      <c r="A4" s="100" t="s">
        <v>74</v>
      </c>
      <c r="B4" s="100" t="s">
        <v>75</v>
      </c>
      <c r="C4" s="100">
        <v>2006</v>
      </c>
      <c r="D4" s="100">
        <v>2007</v>
      </c>
      <c r="E4" s="94"/>
      <c r="F4" s="99" t="s">
        <v>39</v>
      </c>
      <c r="G4" s="99" t="s">
        <v>40</v>
      </c>
      <c r="H4" s="99" t="s">
        <v>41</v>
      </c>
      <c r="I4" s="86"/>
      <c r="J4" s="103" t="s">
        <v>74</v>
      </c>
      <c r="K4" s="103" t="s">
        <v>105</v>
      </c>
      <c r="L4" s="86"/>
      <c r="M4" s="104" t="s">
        <v>74</v>
      </c>
      <c r="N4" s="102" t="s">
        <v>226</v>
      </c>
      <c r="O4" s="110" t="s">
        <v>227</v>
      </c>
      <c r="P4" s="102" t="s">
        <v>237</v>
      </c>
    </row>
    <row r="5" spans="1:16" ht="25.5">
      <c r="A5" s="19" t="s">
        <v>157</v>
      </c>
      <c r="B5" s="19" t="s">
        <v>149</v>
      </c>
      <c r="C5" s="19">
        <v>12620921</v>
      </c>
      <c r="D5" s="19">
        <v>12024946</v>
      </c>
      <c r="F5" s="16" t="s">
        <v>83</v>
      </c>
      <c r="G5" s="17" t="s">
        <v>83</v>
      </c>
      <c r="H5" s="29">
        <f>0.14*D5</f>
        <v>1683492.4400000002</v>
      </c>
      <c r="I5" s="31"/>
      <c r="J5" s="79" t="s">
        <v>179</v>
      </c>
      <c r="K5" s="60">
        <v>3419096.96</v>
      </c>
      <c r="L5" s="31"/>
      <c r="M5" s="87" t="str">
        <f>A5</f>
        <v>Cassava</v>
      </c>
      <c r="N5" s="118">
        <f>(H5*600)*(4/5.67)</f>
        <v>712589392.5925926</v>
      </c>
      <c r="O5" s="118" t="s">
        <v>83</v>
      </c>
      <c r="P5" s="70">
        <f>(0.035*D5)*580</f>
        <v>244106403.8</v>
      </c>
    </row>
    <row r="6" spans="1:16" ht="25.5">
      <c r="A6" s="19" t="s">
        <v>55</v>
      </c>
      <c r="B6" s="19" t="s">
        <v>149</v>
      </c>
      <c r="C6" s="19">
        <v>5304285</v>
      </c>
      <c r="D6" s="19">
        <v>4778685</v>
      </c>
      <c r="F6" s="16">
        <f>0.0693*D6</f>
        <v>331162.8705</v>
      </c>
      <c r="G6" s="17" t="s">
        <v>83</v>
      </c>
      <c r="H6" s="29">
        <f>((6.93*20/100)/100)*D6</f>
        <v>66232.5741</v>
      </c>
      <c r="I6" s="31"/>
      <c r="J6" s="80" t="s">
        <v>157</v>
      </c>
      <c r="K6" s="63">
        <v>1683492.44</v>
      </c>
      <c r="L6" s="31"/>
      <c r="M6" s="88" t="str">
        <f aca="true" t="shared" si="0" ref="M6:M28">A6</f>
        <v>Yams</v>
      </c>
      <c r="N6" s="148">
        <f aca="true" t="shared" si="1" ref="N6:N12">(H6*600)*(4/5.67)</f>
        <v>28034952</v>
      </c>
      <c r="O6" s="148">
        <f>(0.0247*D6)*13585</f>
        <v>1603485362.4075</v>
      </c>
      <c r="P6" s="70">
        <f>(0.018*D6)*580</f>
        <v>49889471.39999999</v>
      </c>
    </row>
    <row r="7" spans="1:16" ht="25.5">
      <c r="A7" s="19" t="s">
        <v>179</v>
      </c>
      <c r="B7" s="19" t="s">
        <v>149</v>
      </c>
      <c r="C7" s="19">
        <v>4753378</v>
      </c>
      <c r="D7" s="19">
        <v>4763964</v>
      </c>
      <c r="F7" s="16">
        <f>0.1355*D7</f>
        <v>645517.1220000001</v>
      </c>
      <c r="G7" s="17">
        <f>0.1235*D7</f>
        <v>588349.554</v>
      </c>
      <c r="H7" s="29">
        <f>0.7177*D7</f>
        <v>3419096.9628</v>
      </c>
      <c r="I7" s="31"/>
      <c r="J7" s="81" t="s">
        <v>211</v>
      </c>
      <c r="K7" s="82">
        <v>1441441.2</v>
      </c>
      <c r="L7" s="31"/>
      <c r="M7" s="88" t="str">
        <f t="shared" si="0"/>
        <v>Maize</v>
      </c>
      <c r="N7" s="148">
        <f t="shared" si="1"/>
        <v>1447236809.6507936</v>
      </c>
      <c r="O7" s="148">
        <f>(0.035*D7)*13585</f>
        <v>2265145782.9</v>
      </c>
      <c r="P7" s="70">
        <f>(0.0945*D7)*580</f>
        <v>261112866.84</v>
      </c>
    </row>
    <row r="8" spans="1:16" ht="25.5">
      <c r="A8" s="19" t="s">
        <v>53</v>
      </c>
      <c r="B8" s="19" t="s">
        <v>149</v>
      </c>
      <c r="C8" s="19">
        <v>3048847</v>
      </c>
      <c r="D8" s="19">
        <v>2851415</v>
      </c>
      <c r="F8" s="30" t="s">
        <v>83</v>
      </c>
      <c r="G8" s="31" t="s">
        <v>83</v>
      </c>
      <c r="H8" s="29">
        <f>0.353*D8</f>
        <v>1006549.495</v>
      </c>
      <c r="I8" s="31"/>
      <c r="J8" s="80" t="s">
        <v>53</v>
      </c>
      <c r="K8" s="63">
        <v>1006549.5</v>
      </c>
      <c r="L8" s="31"/>
      <c r="M8" s="88" t="str">
        <f t="shared" si="0"/>
        <v>Wheat</v>
      </c>
      <c r="N8" s="148">
        <f t="shared" si="1"/>
        <v>426052696.2962963</v>
      </c>
      <c r="O8" s="148">
        <f>(0.05*D8)*13585</f>
        <v>1936823638.75</v>
      </c>
      <c r="P8" s="70">
        <f>(0.0233*D8)*580</f>
        <v>38534022.31</v>
      </c>
    </row>
    <row r="9" spans="1:16" ht="25.5">
      <c r="A9" s="19" t="s">
        <v>219</v>
      </c>
      <c r="B9" s="19" t="s">
        <v>149</v>
      </c>
      <c r="C9" s="19">
        <v>2010860</v>
      </c>
      <c r="D9" s="19">
        <v>2429686</v>
      </c>
      <c r="F9" s="16" t="s">
        <v>83</v>
      </c>
      <c r="G9" s="17" t="s">
        <v>83</v>
      </c>
      <c r="H9" s="29">
        <f>0.41*D9</f>
        <v>996171.2599999999</v>
      </c>
      <c r="I9" s="31"/>
      <c r="J9" s="80" t="s">
        <v>219</v>
      </c>
      <c r="K9" s="63">
        <v>996171.26</v>
      </c>
      <c r="L9" s="31"/>
      <c r="M9" s="88" t="str">
        <f t="shared" si="0"/>
        <v>Sugar Cane</v>
      </c>
      <c r="N9" s="148">
        <f t="shared" si="1"/>
        <v>421659792.5925925</v>
      </c>
      <c r="O9" s="148">
        <f>(0.001*D9)*13585</f>
        <v>33007284.310000002</v>
      </c>
      <c r="P9" s="70">
        <f>(0.02*D9)*580</f>
        <v>28184357.6</v>
      </c>
    </row>
    <row r="10" spans="1:16" ht="25.5">
      <c r="A10" s="19" t="s">
        <v>211</v>
      </c>
      <c r="B10" s="19" t="s">
        <v>149</v>
      </c>
      <c r="C10" s="19">
        <v>2251878</v>
      </c>
      <c r="D10" s="19">
        <v>2219309</v>
      </c>
      <c r="F10" s="16" t="s">
        <v>83</v>
      </c>
      <c r="G10" s="17" t="s">
        <v>83</v>
      </c>
      <c r="H10" s="29">
        <f>0.6495*D10</f>
        <v>1441441.1955</v>
      </c>
      <c r="I10" s="31"/>
      <c r="J10" s="80" t="s">
        <v>203</v>
      </c>
      <c r="K10" s="63">
        <v>730530.24</v>
      </c>
      <c r="L10" s="31"/>
      <c r="M10" s="88" t="str">
        <f t="shared" si="0"/>
        <v>Sorghum</v>
      </c>
      <c r="N10" s="148">
        <f t="shared" si="1"/>
        <v>610133839.3650793</v>
      </c>
      <c r="O10" s="148" t="s">
        <v>83</v>
      </c>
      <c r="P10" s="70">
        <f>(0.122*D10)*580</f>
        <v>157038304.83999997</v>
      </c>
    </row>
    <row r="11" spans="1:16" ht="25.5">
      <c r="A11" s="19" t="s">
        <v>203</v>
      </c>
      <c r="B11" s="19" t="s">
        <v>149</v>
      </c>
      <c r="C11" s="19">
        <v>2234718</v>
      </c>
      <c r="D11" s="19">
        <v>2132935</v>
      </c>
      <c r="F11" s="30" t="s">
        <v>83</v>
      </c>
      <c r="G11" s="17" t="s">
        <v>83</v>
      </c>
      <c r="H11" s="29">
        <f>0.3425*D11</f>
        <v>730530.2375</v>
      </c>
      <c r="I11" s="31"/>
      <c r="J11" s="80" t="s">
        <v>115</v>
      </c>
      <c r="K11" s="63">
        <v>487263.79</v>
      </c>
      <c r="L11" s="31"/>
      <c r="M11" s="88" t="str">
        <f t="shared" si="0"/>
        <v>Rice (Paddy Equivalent)</v>
      </c>
      <c r="N11" s="148">
        <f t="shared" si="1"/>
        <v>309219148.1481481</v>
      </c>
      <c r="O11" s="148">
        <f>(0.031*D11)*13585</f>
        <v>898253581.225</v>
      </c>
      <c r="P11" s="70">
        <f>(0.0369*D11)*580</f>
        <v>45649074.87</v>
      </c>
    </row>
    <row r="12" spans="1:16" ht="25.5">
      <c r="A12" s="19" t="s">
        <v>197</v>
      </c>
      <c r="B12" s="19" t="s">
        <v>149</v>
      </c>
      <c r="C12" s="19">
        <v>2115092</v>
      </c>
      <c r="D12" s="19">
        <v>2120927</v>
      </c>
      <c r="F12" s="30" t="s">
        <v>83</v>
      </c>
      <c r="G12" s="31" t="s">
        <v>83</v>
      </c>
      <c r="H12" s="29">
        <f>0.069*D12</f>
        <v>146343.96300000002</v>
      </c>
      <c r="I12" s="31"/>
      <c r="J12" s="80" t="s">
        <v>51</v>
      </c>
      <c r="K12" s="63">
        <v>318457.99</v>
      </c>
      <c r="L12" s="31"/>
      <c r="M12" s="88" t="str">
        <f t="shared" si="0"/>
        <v>Plantains</v>
      </c>
      <c r="N12" s="148">
        <f t="shared" si="1"/>
        <v>61944534.603174604</v>
      </c>
      <c r="O12" s="148">
        <f>(0.1765*D12)*13585</f>
        <v>5085458016.567499</v>
      </c>
      <c r="P12" s="70">
        <f>(0.118*D12)*580</f>
        <v>145156243.88</v>
      </c>
    </row>
    <row r="13" spans="1:16" ht="25.5">
      <c r="A13" s="19" t="s">
        <v>181</v>
      </c>
      <c r="B13" s="19" t="s">
        <v>149</v>
      </c>
      <c r="C13" s="19">
        <v>1835291</v>
      </c>
      <c r="D13" s="19">
        <v>1861127</v>
      </c>
      <c r="F13" s="16" t="s">
        <v>83</v>
      </c>
      <c r="G13" s="17" t="s">
        <v>83</v>
      </c>
      <c r="H13" s="29">
        <v>0</v>
      </c>
      <c r="I13" s="31"/>
      <c r="J13" s="80" t="s">
        <v>152</v>
      </c>
      <c r="K13" s="63">
        <v>190542.12</v>
      </c>
      <c r="L13" s="31"/>
      <c r="M13" s="88" t="str">
        <f t="shared" si="0"/>
        <v>Millet</v>
      </c>
      <c r="N13" s="148" t="s">
        <v>83</v>
      </c>
      <c r="O13" s="148" t="s">
        <v>83</v>
      </c>
      <c r="P13" s="70" t="s">
        <v>83</v>
      </c>
    </row>
    <row r="14" spans="1:16" ht="25.5">
      <c r="A14" s="19" t="s">
        <v>198</v>
      </c>
      <c r="B14" s="19" t="s">
        <v>149</v>
      </c>
      <c r="C14" s="19">
        <v>1726964</v>
      </c>
      <c r="D14" s="19">
        <v>1803858</v>
      </c>
      <c r="F14" s="30" t="s">
        <v>83</v>
      </c>
      <c r="G14" s="31" t="s">
        <v>83</v>
      </c>
      <c r="H14" s="18">
        <f>0.096*D14</f>
        <v>173170.36800000002</v>
      </c>
      <c r="I14" s="17"/>
      <c r="J14" s="80" t="s">
        <v>198</v>
      </c>
      <c r="K14" s="63">
        <v>173170.37</v>
      </c>
      <c r="L14" s="17"/>
      <c r="M14" s="88" t="str">
        <f t="shared" si="0"/>
        <v>Potatoes</v>
      </c>
      <c r="N14" s="148">
        <f>(H14*600)*(4/5.67)</f>
        <v>73299626.66666667</v>
      </c>
      <c r="O14" s="148">
        <f>(0.096*D14)*13585</f>
        <v>2352519449.28</v>
      </c>
      <c r="P14" s="70">
        <f>(0.0225*D14)*580</f>
        <v>23540346.9</v>
      </c>
    </row>
    <row r="15" spans="1:16" ht="25.5">
      <c r="A15" s="19" t="s">
        <v>47</v>
      </c>
      <c r="B15" s="19" t="s">
        <v>149</v>
      </c>
      <c r="C15" s="19">
        <v>2094595</v>
      </c>
      <c r="D15" s="19">
        <v>1799812</v>
      </c>
      <c r="F15" s="30">
        <f>0.112*D15</f>
        <v>201578.94400000002</v>
      </c>
      <c r="G15" s="31">
        <f>0.0544*D15</f>
        <v>97909.77279999999</v>
      </c>
      <c r="H15" s="29">
        <f>((5.44*30/100)/100)*D15</f>
        <v>29372.93184</v>
      </c>
      <c r="I15" s="31"/>
      <c r="J15" s="80" t="s">
        <v>151</v>
      </c>
      <c r="K15" s="63">
        <v>157481.22</v>
      </c>
      <c r="L15" s="31"/>
      <c r="M15" s="88" t="str">
        <f t="shared" si="0"/>
        <v>Sweet Potatoes</v>
      </c>
      <c r="N15" s="148">
        <f aca="true" t="shared" si="2" ref="N15:N21">(H15*600)*(4/5.67)</f>
        <v>12432987.022222223</v>
      </c>
      <c r="O15" s="148">
        <f>(0.0296*D15)*13585</f>
        <v>723733202.192</v>
      </c>
      <c r="P15" s="70">
        <f>(0.0463*D15)*580</f>
        <v>48332151.448</v>
      </c>
    </row>
    <row r="16" spans="1:16" ht="25.5">
      <c r="A16" s="19" t="s">
        <v>151</v>
      </c>
      <c r="B16" s="19" t="s">
        <v>149</v>
      </c>
      <c r="C16" s="19">
        <v>1657566</v>
      </c>
      <c r="D16" s="19">
        <v>1657697</v>
      </c>
      <c r="F16" s="30">
        <f>0.5025*D16</f>
        <v>832992.7424999999</v>
      </c>
      <c r="G16" s="31" t="s">
        <v>83</v>
      </c>
      <c r="H16" s="18">
        <f>0.095*D16</f>
        <v>157481.215</v>
      </c>
      <c r="I16" s="17"/>
      <c r="J16" s="80" t="s">
        <v>197</v>
      </c>
      <c r="K16" s="63">
        <v>146343.46</v>
      </c>
      <c r="L16" s="17"/>
      <c r="M16" s="88" t="str">
        <f t="shared" si="0"/>
        <v>Bananas</v>
      </c>
      <c r="N16" s="148">
        <f t="shared" si="2"/>
        <v>66658715.34391534</v>
      </c>
      <c r="O16" s="148">
        <f>(0.1735*D16)*13585</f>
        <v>3907187684.7574997</v>
      </c>
      <c r="P16" s="70">
        <f>(0.086*D16)*580</f>
        <v>82685926.35999998</v>
      </c>
    </row>
    <row r="17" spans="1:16" ht="25.5">
      <c r="A17" s="19" t="s">
        <v>51</v>
      </c>
      <c r="B17" s="19" t="s">
        <v>149</v>
      </c>
      <c r="C17" s="19">
        <v>1525986</v>
      </c>
      <c r="D17" s="19">
        <v>1616538</v>
      </c>
      <c r="F17" s="30">
        <f>0.7873*D17</f>
        <v>1272700.3674</v>
      </c>
      <c r="G17" s="17">
        <f>0.7152*D17</f>
        <v>1156147.9775999999</v>
      </c>
      <c r="H17" s="18">
        <f>0.197*D17</f>
        <v>318457.98600000003</v>
      </c>
      <c r="I17" s="17"/>
      <c r="J17" s="80" t="s">
        <v>189</v>
      </c>
      <c r="K17" s="63">
        <v>111300.7</v>
      </c>
      <c r="L17" s="17"/>
      <c r="M17" s="88" t="str">
        <f t="shared" si="0"/>
        <v>Tomatoes</v>
      </c>
      <c r="N17" s="148">
        <f t="shared" si="2"/>
        <v>134797031.11111113</v>
      </c>
      <c r="O17" s="148">
        <f>(0.097*D17)*13585</f>
        <v>2130184866.8100002</v>
      </c>
      <c r="P17" s="70">
        <f>(0.1101*D17)*580</f>
        <v>103228883.604</v>
      </c>
    </row>
    <row r="18" spans="1:16" ht="25.5">
      <c r="A18" s="19" t="s">
        <v>202</v>
      </c>
      <c r="B18" s="19" t="s">
        <v>149</v>
      </c>
      <c r="C18" s="19">
        <v>1490557</v>
      </c>
      <c r="D18" s="19">
        <v>1422668</v>
      </c>
      <c r="F18" s="16" t="s">
        <v>83</v>
      </c>
      <c r="G18" s="17"/>
      <c r="H18" s="29">
        <f>0.3425*D18</f>
        <v>487263.79000000004</v>
      </c>
      <c r="I18" s="31"/>
      <c r="J18" s="80" t="s">
        <v>55</v>
      </c>
      <c r="K18" s="63">
        <v>66232.57</v>
      </c>
      <c r="L18" s="31"/>
      <c r="M18" s="88" t="str">
        <f t="shared" si="0"/>
        <v>Rice (Milled Equivalent)</v>
      </c>
      <c r="N18" s="148">
        <f t="shared" si="2"/>
        <v>206249223.28042328</v>
      </c>
      <c r="O18" s="148">
        <f>(0.031*D18)*13585</f>
        <v>599135288.18</v>
      </c>
      <c r="P18" s="70">
        <f>(0.0369*D18)*580</f>
        <v>30447940.536000002</v>
      </c>
    </row>
    <row r="19" spans="1:16" ht="25.5">
      <c r="A19" s="19" t="s">
        <v>189</v>
      </c>
      <c r="B19" s="19" t="s">
        <v>149</v>
      </c>
      <c r="C19" s="19">
        <v>588309</v>
      </c>
      <c r="D19" s="19">
        <v>592025</v>
      </c>
      <c r="F19" s="30">
        <f>0.643*D19</f>
        <v>380672.075</v>
      </c>
      <c r="G19" s="31">
        <f>0.54*D19</f>
        <v>319693.5</v>
      </c>
      <c r="H19" s="29">
        <f>0.188*D19</f>
        <v>111300.7</v>
      </c>
      <c r="I19" s="31"/>
      <c r="J19" s="80" t="s">
        <v>150</v>
      </c>
      <c r="K19" s="63">
        <v>65273.12</v>
      </c>
      <c r="L19" s="31"/>
      <c r="M19" s="88" t="str">
        <f t="shared" si="0"/>
        <v>Oranges, Mandarines</v>
      </c>
      <c r="N19" s="148">
        <f t="shared" si="2"/>
        <v>47111407.4074074</v>
      </c>
      <c r="O19" s="148">
        <f>(0.117*D19)*13585</f>
        <v>940991176.125</v>
      </c>
      <c r="P19" s="70">
        <f>(0.0558*D19)*580</f>
        <v>19160297.1</v>
      </c>
    </row>
    <row r="20" spans="1:16" ht="25.5">
      <c r="A20" s="19" t="s">
        <v>188</v>
      </c>
      <c r="B20" s="19" t="s">
        <v>149</v>
      </c>
      <c r="C20" s="19">
        <v>380527</v>
      </c>
      <c r="D20" s="19">
        <v>424283</v>
      </c>
      <c r="F20" s="16">
        <f>0.3469*D20</f>
        <v>147183.7727</v>
      </c>
      <c r="G20" s="17">
        <f>0.295*D20</f>
        <v>125163.485</v>
      </c>
      <c r="H20" s="29">
        <f>((29.5*30/100)/100)*D20</f>
        <v>37549.0455</v>
      </c>
      <c r="I20" s="31"/>
      <c r="J20" s="80" t="s">
        <v>171</v>
      </c>
      <c r="K20" s="63">
        <v>44352.5</v>
      </c>
      <c r="L20" s="31"/>
      <c r="M20" s="88" t="str">
        <f t="shared" si="0"/>
        <v>Onions</v>
      </c>
      <c r="N20" s="148">
        <f t="shared" si="2"/>
        <v>15893775.873015873</v>
      </c>
      <c r="O20" s="148" t="s">
        <v>83</v>
      </c>
      <c r="P20" s="70">
        <f>(0.0398*D20)*580</f>
        <v>9794148.772</v>
      </c>
    </row>
    <row r="21" spans="1:16" ht="25.5">
      <c r="A21" s="19" t="s">
        <v>152</v>
      </c>
      <c r="B21" s="19" t="s">
        <v>149</v>
      </c>
      <c r="C21" s="19">
        <v>439191</v>
      </c>
      <c r="D21" s="19">
        <v>361560</v>
      </c>
      <c r="F21" s="16" t="s">
        <v>83</v>
      </c>
      <c r="G21" s="17" t="s">
        <v>83</v>
      </c>
      <c r="H21" s="29">
        <f>0.527*D21</f>
        <v>190542.12</v>
      </c>
      <c r="I21" s="31"/>
      <c r="J21" s="80" t="s">
        <v>188</v>
      </c>
      <c r="K21" s="63">
        <v>37549.05</v>
      </c>
      <c r="L21" s="31"/>
      <c r="M21" s="88" t="str">
        <f t="shared" si="0"/>
        <v>Barley</v>
      </c>
      <c r="N21" s="148">
        <f t="shared" si="2"/>
        <v>80652749.20634921</v>
      </c>
      <c r="O21" s="148" t="s">
        <v>83</v>
      </c>
      <c r="P21" s="70">
        <f>(0.0362*D21)*580</f>
        <v>7591313.760000001</v>
      </c>
    </row>
    <row r="22" spans="1:16" ht="25.5">
      <c r="A22" s="19" t="s">
        <v>153</v>
      </c>
      <c r="B22" s="19" t="s">
        <v>149</v>
      </c>
      <c r="C22" s="19">
        <v>297783</v>
      </c>
      <c r="D22" s="19">
        <v>303788</v>
      </c>
      <c r="F22" s="16" t="s">
        <v>83</v>
      </c>
      <c r="G22" s="17" t="s">
        <v>83</v>
      </c>
      <c r="H22" s="29" t="s">
        <v>83</v>
      </c>
      <c r="I22" s="31"/>
      <c r="J22" s="80" t="s">
        <v>113</v>
      </c>
      <c r="K22" s="63">
        <v>29372.93</v>
      </c>
      <c r="L22" s="31"/>
      <c r="M22" s="88" t="str">
        <f t="shared" si="0"/>
        <v>Beans</v>
      </c>
      <c r="N22" s="148" t="s">
        <v>83</v>
      </c>
      <c r="O22" s="148" t="s">
        <v>83</v>
      </c>
      <c r="P22" s="70" t="s">
        <v>83</v>
      </c>
    </row>
    <row r="23" spans="1:16" ht="25.5">
      <c r="A23" s="19" t="s">
        <v>196</v>
      </c>
      <c r="B23" s="19" t="s">
        <v>149</v>
      </c>
      <c r="C23" s="19">
        <v>224190</v>
      </c>
      <c r="D23" s="19">
        <v>233538</v>
      </c>
      <c r="F23" s="30" t="s">
        <v>83</v>
      </c>
      <c r="G23" s="31" t="s">
        <v>83</v>
      </c>
      <c r="H23" s="29">
        <f>0.107*D23</f>
        <v>24988.566</v>
      </c>
      <c r="I23" s="31"/>
      <c r="J23" s="80" t="s">
        <v>163</v>
      </c>
      <c r="K23" s="63">
        <v>27965.92</v>
      </c>
      <c r="L23" s="31"/>
      <c r="M23" s="88" t="str">
        <f t="shared" si="0"/>
        <v>Pineapples</v>
      </c>
      <c r="N23" s="148">
        <f>(H23*600)*(4/5.67)</f>
        <v>10577170.793650793</v>
      </c>
      <c r="O23" s="148">
        <f>(0.063*D23)*13585</f>
        <v>199874664.99</v>
      </c>
      <c r="P23" s="70">
        <f>(0.0245*D23)*580</f>
        <v>3318574.9800000004</v>
      </c>
    </row>
    <row r="24" spans="1:16" ht="25.5">
      <c r="A24" s="19" t="s">
        <v>168</v>
      </c>
      <c r="B24" s="19" t="s">
        <v>149</v>
      </c>
      <c r="C24" s="19">
        <v>212922</v>
      </c>
      <c r="D24" s="19">
        <v>215258</v>
      </c>
      <c r="F24" s="30" t="s">
        <v>83</v>
      </c>
      <c r="G24" s="31" t="s">
        <v>83</v>
      </c>
      <c r="H24" s="29" t="s">
        <v>83</v>
      </c>
      <c r="I24" s="31"/>
      <c r="J24" s="83" t="s">
        <v>196</v>
      </c>
      <c r="K24" s="77">
        <v>24988.57</v>
      </c>
      <c r="L24" s="31"/>
      <c r="M24" s="88" t="str">
        <f t="shared" si="0"/>
        <v>Dates</v>
      </c>
      <c r="N24" s="148" t="s">
        <v>83</v>
      </c>
      <c r="O24" s="148" t="s">
        <v>83</v>
      </c>
      <c r="P24" s="70" t="s">
        <v>83</v>
      </c>
    </row>
    <row r="25" spans="1:16" ht="25.5">
      <c r="A25" s="19" t="s">
        <v>156</v>
      </c>
      <c r="B25" s="19" t="s">
        <v>149</v>
      </c>
      <c r="C25" s="19">
        <v>199816</v>
      </c>
      <c r="D25" s="19">
        <v>207498</v>
      </c>
      <c r="F25" s="30" t="s">
        <v>83</v>
      </c>
      <c r="G25" s="31" t="s">
        <v>83</v>
      </c>
      <c r="H25" s="29" t="s">
        <v>83</v>
      </c>
      <c r="I25" s="31"/>
      <c r="L25" s="31"/>
      <c r="M25" s="88" t="str">
        <f t="shared" si="0"/>
        <v>Brans</v>
      </c>
      <c r="N25" s="148" t="s">
        <v>83</v>
      </c>
      <c r="O25" s="148" t="s">
        <v>83</v>
      </c>
      <c r="P25" s="70" t="s">
        <v>83</v>
      </c>
    </row>
    <row r="26" spans="1:16" ht="25.5">
      <c r="A26" s="19" t="s">
        <v>171</v>
      </c>
      <c r="B26" s="19" t="s">
        <v>149</v>
      </c>
      <c r="C26" s="19">
        <v>156777</v>
      </c>
      <c r="D26" s="19">
        <v>160814</v>
      </c>
      <c r="F26" s="30"/>
      <c r="G26" s="31"/>
      <c r="H26" s="29">
        <f>0.2758*D26</f>
        <v>44352.5012</v>
      </c>
      <c r="I26" s="31"/>
      <c r="J26" s="31"/>
      <c r="K26" s="31"/>
      <c r="L26" s="31"/>
      <c r="M26" s="88" t="str">
        <f t="shared" si="0"/>
        <v>Grapes</v>
      </c>
      <c r="N26" s="148">
        <f>(H26*600)*(4/5.67)</f>
        <v>18773545.48148148</v>
      </c>
      <c r="O26" s="148">
        <f>(0.0362*D26)*13585</f>
        <v>79084626.478</v>
      </c>
      <c r="P26" s="70">
        <f>(0.0846*D26)*580</f>
        <v>7890821.351999999</v>
      </c>
    </row>
    <row r="27" spans="1:16" ht="25.5">
      <c r="A27" s="19" t="s">
        <v>150</v>
      </c>
      <c r="B27" s="19" t="s">
        <v>149</v>
      </c>
      <c r="C27" s="19">
        <v>151369</v>
      </c>
      <c r="D27" s="19">
        <v>149709</v>
      </c>
      <c r="F27" s="37"/>
      <c r="G27" s="38"/>
      <c r="H27" s="39">
        <f>0.436*D27</f>
        <v>65273.124</v>
      </c>
      <c r="I27" s="38"/>
      <c r="J27" s="38"/>
      <c r="K27" s="38"/>
      <c r="L27" s="38"/>
      <c r="M27" s="88" t="str">
        <f t="shared" si="0"/>
        <v>Apples</v>
      </c>
      <c r="N27" s="148">
        <f aca="true" t="shared" si="3" ref="N27:N28">(H27*600)*(4/5.67)</f>
        <v>27628835.555555552</v>
      </c>
      <c r="O27" s="148">
        <f>(0.117*D27)*13585</f>
        <v>237954221.50500003</v>
      </c>
      <c r="P27" s="70">
        <f>(0.117*D27)*580</f>
        <v>10159252.74</v>
      </c>
    </row>
    <row r="28" spans="1:16" ht="25.5">
      <c r="A28" s="19" t="s">
        <v>163</v>
      </c>
      <c r="B28" s="19" t="s">
        <v>149</v>
      </c>
      <c r="C28" s="19">
        <v>140652</v>
      </c>
      <c r="D28" s="19">
        <v>141242</v>
      </c>
      <c r="F28" s="40"/>
      <c r="G28" s="41"/>
      <c r="H28" s="42">
        <f>0.198*D28</f>
        <v>27965.916</v>
      </c>
      <c r="I28" s="38"/>
      <c r="J28" s="38"/>
      <c r="K28" s="38"/>
      <c r="L28" s="38"/>
      <c r="M28" s="89" t="str">
        <f t="shared" si="0"/>
        <v>Coconuts - Incl Copra</v>
      </c>
      <c r="N28" s="119">
        <f t="shared" si="3"/>
        <v>11837424.761904763</v>
      </c>
      <c r="O28" s="119" t="s">
        <v>83</v>
      </c>
      <c r="P28" s="132">
        <f>(0.02*D28)*580</f>
        <v>1638407.2000000002</v>
      </c>
    </row>
    <row r="29" spans="1:16" ht="25.5">
      <c r="A29" s="19" t="s">
        <v>186</v>
      </c>
      <c r="B29" s="19" t="s">
        <v>149</v>
      </c>
      <c r="C29" s="19">
        <v>119861</v>
      </c>
      <c r="D29" s="19">
        <v>118637</v>
      </c>
      <c r="F29" s="38"/>
      <c r="G29" s="38"/>
      <c r="H29" s="38"/>
      <c r="I29" s="38"/>
      <c r="J29" s="38"/>
      <c r="K29" s="38"/>
      <c r="L29" s="38"/>
      <c r="M29" s="97"/>
      <c r="N29" s="56"/>
      <c r="O29" s="56"/>
      <c r="P29" s="56"/>
    </row>
    <row r="30" spans="1:16" ht="25.5">
      <c r="A30" s="19" t="s">
        <v>213</v>
      </c>
      <c r="B30" s="19" t="s">
        <v>149</v>
      </c>
      <c r="C30" s="19">
        <v>108135</v>
      </c>
      <c r="D30" s="19">
        <v>107208</v>
      </c>
      <c r="F30" s="38"/>
      <c r="G30" s="38"/>
      <c r="H30" s="38"/>
      <c r="I30" s="38"/>
      <c r="J30" s="38"/>
      <c r="K30" s="38"/>
      <c r="L30" s="38"/>
      <c r="M30" s="97"/>
      <c r="N30" s="56"/>
      <c r="O30" s="56"/>
      <c r="P30" s="56"/>
    </row>
    <row r="31" spans="1:16" ht="25.5">
      <c r="A31" s="19" t="s">
        <v>187</v>
      </c>
      <c r="B31" s="19" t="s">
        <v>149</v>
      </c>
      <c r="C31" s="19">
        <v>77176</v>
      </c>
      <c r="D31" s="19">
        <v>77621</v>
      </c>
      <c r="F31" s="38"/>
      <c r="G31" s="38"/>
      <c r="H31" s="38"/>
      <c r="I31" s="38"/>
      <c r="J31" s="38"/>
      <c r="K31" s="38"/>
      <c r="L31" s="38"/>
      <c r="M31" s="97"/>
      <c r="N31" s="56"/>
      <c r="O31" s="56"/>
      <c r="P31" s="56"/>
    </row>
    <row r="32" spans="1:16" ht="25.5">
      <c r="A32" s="19" t="s">
        <v>178</v>
      </c>
      <c r="B32" s="19" t="s">
        <v>149</v>
      </c>
      <c r="C32" s="19">
        <v>70860</v>
      </c>
      <c r="D32" s="19">
        <v>69943</v>
      </c>
      <c r="F32" s="38"/>
      <c r="G32" s="38"/>
      <c r="H32" s="38"/>
      <c r="I32" s="38"/>
      <c r="J32" s="38"/>
      <c r="K32" s="38"/>
      <c r="L32" s="38"/>
      <c r="M32" s="97"/>
      <c r="N32" s="56"/>
      <c r="O32" s="56"/>
      <c r="P32" s="56"/>
    </row>
    <row r="33" spans="1:16" ht="25.5">
      <c r="A33" s="19" t="s">
        <v>182</v>
      </c>
      <c r="B33" s="19" t="s">
        <v>149</v>
      </c>
      <c r="C33" s="19">
        <v>53018</v>
      </c>
      <c r="D33" s="19">
        <v>63882</v>
      </c>
      <c r="F33" s="38"/>
      <c r="G33" s="38"/>
      <c r="H33" s="38"/>
      <c r="I33" s="38"/>
      <c r="J33" s="38"/>
      <c r="K33" s="38"/>
      <c r="L33" s="38"/>
      <c r="M33" s="97"/>
      <c r="N33" s="56"/>
      <c r="O33" s="56"/>
      <c r="P33" s="56"/>
    </row>
    <row r="34" spans="1:16" ht="25.5">
      <c r="A34" s="19" t="s">
        <v>207</v>
      </c>
      <c r="B34" s="19" t="s">
        <v>149</v>
      </c>
      <c r="C34" s="19">
        <v>67938</v>
      </c>
      <c r="D34" s="19">
        <v>59846</v>
      </c>
      <c r="F34" s="38"/>
      <c r="G34" s="38"/>
      <c r="H34" s="38"/>
      <c r="I34" s="38"/>
      <c r="J34" s="38"/>
      <c r="K34" s="38"/>
      <c r="L34" s="38"/>
      <c r="M34" s="97"/>
      <c r="N34" s="56"/>
      <c r="O34" s="56"/>
      <c r="P34" s="56"/>
    </row>
    <row r="35" spans="1:16" ht="25.5">
      <c r="A35" s="19" t="s">
        <v>67</v>
      </c>
      <c r="B35" s="19" t="s">
        <v>149</v>
      </c>
      <c r="C35" s="19">
        <v>56307</v>
      </c>
      <c r="D35" s="19">
        <v>59090</v>
      </c>
      <c r="F35" s="38"/>
      <c r="G35" s="38"/>
      <c r="H35" s="38"/>
      <c r="I35" s="38"/>
      <c r="J35" s="38"/>
      <c r="K35" s="38"/>
      <c r="L35" s="38"/>
      <c r="M35" s="97"/>
      <c r="N35" s="56"/>
      <c r="O35" s="56"/>
      <c r="P35" s="56"/>
    </row>
    <row r="36" spans="1:16" ht="25.5">
      <c r="A36" s="19" t="s">
        <v>190</v>
      </c>
      <c r="B36" s="19" t="s">
        <v>149</v>
      </c>
      <c r="C36" s="19">
        <v>55364</v>
      </c>
      <c r="D36" s="19">
        <v>56685</v>
      </c>
      <c r="F36" s="38"/>
      <c r="G36" s="38"/>
      <c r="H36" s="38"/>
      <c r="I36" s="38"/>
      <c r="J36" s="38"/>
      <c r="K36" s="38"/>
      <c r="L36" s="38"/>
      <c r="M36" s="97"/>
      <c r="N36" s="56"/>
      <c r="O36" s="56"/>
      <c r="P36" s="56"/>
    </row>
    <row r="37" spans="1:16" ht="25.5">
      <c r="A37" s="19" t="s">
        <v>71</v>
      </c>
      <c r="B37" s="19" t="s">
        <v>149</v>
      </c>
      <c r="C37" s="19">
        <v>55364</v>
      </c>
      <c r="D37" s="19">
        <v>56685</v>
      </c>
      <c r="F37" s="38"/>
      <c r="G37" s="38"/>
      <c r="H37" s="38"/>
      <c r="I37" s="38"/>
      <c r="J37" s="38"/>
      <c r="K37" s="38"/>
      <c r="L37" s="38"/>
      <c r="M37" s="97"/>
      <c r="N37" s="56"/>
      <c r="O37" s="56"/>
      <c r="P37" s="56"/>
    </row>
    <row r="38" spans="1:16" ht="25.5">
      <c r="A38" s="19" t="s">
        <v>170</v>
      </c>
      <c r="B38" s="19" t="s">
        <v>149</v>
      </c>
      <c r="C38" s="19">
        <v>49709</v>
      </c>
      <c r="D38" s="19">
        <v>46067</v>
      </c>
      <c r="F38" s="38"/>
      <c r="G38" s="38"/>
      <c r="H38" s="38"/>
      <c r="I38" s="38"/>
      <c r="J38" s="38"/>
      <c r="K38" s="38"/>
      <c r="L38" s="38"/>
      <c r="M38" s="97"/>
      <c r="N38" s="56"/>
      <c r="O38" s="56"/>
      <c r="P38" s="56"/>
    </row>
    <row r="39" spans="1:16" ht="25.5">
      <c r="A39" s="19" t="s">
        <v>161</v>
      </c>
      <c r="B39" s="19" t="s">
        <v>149</v>
      </c>
      <c r="C39" s="19">
        <v>40894</v>
      </c>
      <c r="D39" s="19">
        <v>41278</v>
      </c>
      <c r="F39" s="38"/>
      <c r="G39" s="38"/>
      <c r="H39" s="38"/>
      <c r="I39" s="38"/>
      <c r="J39" s="38"/>
      <c r="K39" s="38"/>
      <c r="L39" s="38"/>
      <c r="M39" s="97"/>
      <c r="N39" s="56"/>
      <c r="O39" s="56"/>
      <c r="P39" s="56"/>
    </row>
    <row r="40" spans="1:16" ht="25.5">
      <c r="A40" s="19" t="s">
        <v>183</v>
      </c>
      <c r="B40" s="19" t="s">
        <v>149</v>
      </c>
      <c r="C40" s="19">
        <v>27259</v>
      </c>
      <c r="D40" s="19">
        <v>29290</v>
      </c>
      <c r="F40" s="38"/>
      <c r="G40" s="38"/>
      <c r="H40" s="38"/>
      <c r="I40" s="38"/>
      <c r="J40" s="38"/>
      <c r="K40" s="38"/>
      <c r="L40" s="38"/>
      <c r="M40" s="97"/>
      <c r="N40" s="56"/>
      <c r="O40" s="56"/>
      <c r="P40" s="56"/>
    </row>
    <row r="41" spans="1:16" ht="25.5">
      <c r="A41" s="19" t="s">
        <v>70</v>
      </c>
      <c r="B41" s="19" t="s">
        <v>149</v>
      </c>
      <c r="C41" s="19">
        <v>27259</v>
      </c>
      <c r="D41" s="19">
        <v>29290</v>
      </c>
      <c r="F41" s="38"/>
      <c r="G41" s="38"/>
      <c r="H41" s="38"/>
      <c r="I41" s="38"/>
      <c r="J41" s="38"/>
      <c r="K41" s="38"/>
      <c r="L41" s="38"/>
      <c r="M41" s="97"/>
      <c r="N41" s="56"/>
      <c r="O41" s="56"/>
      <c r="P41" s="56"/>
    </row>
    <row r="42" spans="1:16" ht="25.5">
      <c r="A42" s="19" t="s">
        <v>166</v>
      </c>
      <c r="B42" s="19" t="s">
        <v>149</v>
      </c>
      <c r="C42" s="19">
        <v>29230</v>
      </c>
      <c r="D42" s="19">
        <v>26252</v>
      </c>
      <c r="F42" s="38"/>
      <c r="G42" s="38"/>
      <c r="H42" s="38"/>
      <c r="I42" s="38"/>
      <c r="J42" s="38"/>
      <c r="K42" s="38"/>
      <c r="L42" s="38"/>
      <c r="M42" s="97"/>
      <c r="N42" s="57"/>
      <c r="O42" s="57"/>
      <c r="P42" s="57"/>
    </row>
    <row r="43" spans="1:16" ht="25.5">
      <c r="A43" s="19" t="s">
        <v>193</v>
      </c>
      <c r="B43" s="19" t="s">
        <v>149</v>
      </c>
      <c r="C43" s="19">
        <v>22708</v>
      </c>
      <c r="D43" s="19">
        <v>25878</v>
      </c>
      <c r="F43" s="38"/>
      <c r="G43" s="38"/>
      <c r="H43" s="38"/>
      <c r="I43" s="38"/>
      <c r="J43" s="38"/>
      <c r="K43" s="38"/>
      <c r="L43" s="38"/>
      <c r="M43" s="97"/>
      <c r="N43" s="57"/>
      <c r="O43" s="57"/>
      <c r="P43" s="57"/>
    </row>
    <row r="44" spans="1:16" ht="25.5">
      <c r="A44" s="19" t="s">
        <v>61</v>
      </c>
      <c r="B44" s="19" t="s">
        <v>149</v>
      </c>
      <c r="C44" s="19">
        <v>24090</v>
      </c>
      <c r="D44" s="19">
        <v>24999</v>
      </c>
      <c r="F44" s="38"/>
      <c r="G44" s="38"/>
      <c r="H44" s="38"/>
      <c r="I44" s="38"/>
      <c r="J44" s="38"/>
      <c r="K44" s="38"/>
      <c r="L44" s="38"/>
      <c r="M44" s="97"/>
      <c r="N44" s="57"/>
      <c r="O44" s="57"/>
      <c r="P44" s="57"/>
    </row>
    <row r="45" spans="1:16" ht="25.5">
      <c r="A45" s="19" t="s">
        <v>195</v>
      </c>
      <c r="B45" s="19" t="s">
        <v>149</v>
      </c>
      <c r="C45" s="19">
        <v>20667</v>
      </c>
      <c r="D45" s="19">
        <v>21489</v>
      </c>
      <c r="F45" s="38"/>
      <c r="G45" s="38"/>
      <c r="H45" s="38"/>
      <c r="I45" s="38"/>
      <c r="J45" s="38"/>
      <c r="K45" s="38"/>
      <c r="L45" s="38"/>
      <c r="M45" s="97"/>
      <c r="N45" s="57"/>
      <c r="O45" s="57"/>
      <c r="P45" s="57"/>
    </row>
    <row r="46" spans="1:16" ht="25.5">
      <c r="A46" s="19" t="s">
        <v>164</v>
      </c>
      <c r="B46" s="19" t="s">
        <v>149</v>
      </c>
      <c r="C46" s="19">
        <v>14806</v>
      </c>
      <c r="D46" s="19">
        <v>17126</v>
      </c>
      <c r="F46" s="38"/>
      <c r="G46" s="38"/>
      <c r="H46" s="38"/>
      <c r="I46" s="38"/>
      <c r="J46" s="38"/>
      <c r="K46" s="38"/>
      <c r="L46" s="38"/>
      <c r="M46" s="97"/>
      <c r="N46" s="57"/>
      <c r="O46" s="57"/>
      <c r="P46" s="57"/>
    </row>
    <row r="47" spans="1:16" ht="25.5">
      <c r="A47" s="19" t="s">
        <v>223</v>
      </c>
      <c r="B47" s="19" t="s">
        <v>149</v>
      </c>
      <c r="C47" s="19">
        <v>8897</v>
      </c>
      <c r="D47" s="19">
        <v>7613</v>
      </c>
      <c r="F47" s="38"/>
      <c r="G47" s="38"/>
      <c r="H47" s="38"/>
      <c r="I47" s="38"/>
      <c r="J47" s="38"/>
      <c r="K47" s="38"/>
      <c r="L47" s="38"/>
      <c r="M47" s="97"/>
      <c r="N47" s="56"/>
      <c r="O47" s="56"/>
      <c r="P47" s="56"/>
    </row>
    <row r="48" spans="1:16" ht="25.5">
      <c r="A48" s="19" t="s">
        <v>184</v>
      </c>
      <c r="B48" s="19" t="s">
        <v>149</v>
      </c>
      <c r="C48" s="19">
        <v>8095</v>
      </c>
      <c r="D48" s="19">
        <v>6318</v>
      </c>
      <c r="F48" s="38"/>
      <c r="G48" s="38"/>
      <c r="H48" s="38"/>
      <c r="I48" s="38"/>
      <c r="J48" s="38"/>
      <c r="K48" s="38"/>
      <c r="L48" s="38"/>
      <c r="M48" s="97"/>
      <c r="N48" s="57"/>
      <c r="O48" s="57"/>
      <c r="P48" s="57"/>
    </row>
    <row r="49" spans="1:16" ht="25.5">
      <c r="A49" s="19" t="s">
        <v>50</v>
      </c>
      <c r="B49" s="19" t="s">
        <v>149</v>
      </c>
      <c r="C49" s="19">
        <v>4991</v>
      </c>
      <c r="D49" s="19">
        <v>4730</v>
      </c>
      <c r="F49" s="38"/>
      <c r="G49" s="38"/>
      <c r="H49" s="38"/>
      <c r="I49" s="38"/>
      <c r="J49" s="38"/>
      <c r="K49" s="38"/>
      <c r="L49" s="38"/>
      <c r="M49" s="97"/>
      <c r="N49" s="57"/>
      <c r="O49" s="57"/>
      <c r="P49" s="57"/>
    </row>
    <row r="50" spans="1:16" ht="25.5">
      <c r="A50" s="19" t="s">
        <v>192</v>
      </c>
      <c r="B50" s="19" t="s">
        <v>149</v>
      </c>
      <c r="C50" s="19">
        <v>5595</v>
      </c>
      <c r="D50" s="19">
        <v>4526</v>
      </c>
      <c r="F50" s="38"/>
      <c r="G50" s="38"/>
      <c r="H50" s="38"/>
      <c r="I50" s="38"/>
      <c r="J50" s="38"/>
      <c r="K50" s="38"/>
      <c r="L50" s="38"/>
      <c r="M50" s="97"/>
      <c r="N50" s="56"/>
      <c r="O50" s="56"/>
      <c r="P50" s="56"/>
    </row>
    <row r="51" spans="1:16" ht="25.5">
      <c r="A51" s="19" t="s">
        <v>214</v>
      </c>
      <c r="B51" s="19" t="s">
        <v>149</v>
      </c>
      <c r="C51" s="19">
        <v>3051</v>
      </c>
      <c r="D51" s="19">
        <v>3030</v>
      </c>
      <c r="F51" s="38"/>
      <c r="G51" s="38"/>
      <c r="H51" s="38"/>
      <c r="I51" s="38"/>
      <c r="J51" s="38"/>
      <c r="K51" s="38"/>
      <c r="L51" s="38"/>
      <c r="M51" s="97"/>
      <c r="N51" s="57"/>
      <c r="O51" s="57"/>
      <c r="P51" s="57"/>
    </row>
    <row r="52" spans="1:16" ht="25.5">
      <c r="A52" s="19" t="s">
        <v>201</v>
      </c>
      <c r="B52" s="19" t="s">
        <v>149</v>
      </c>
      <c r="C52" s="19">
        <v>2908</v>
      </c>
      <c r="D52" s="19">
        <v>2904</v>
      </c>
      <c r="F52" s="38"/>
      <c r="G52" s="38"/>
      <c r="H52" s="38"/>
      <c r="I52" s="38"/>
      <c r="J52" s="38"/>
      <c r="K52" s="38"/>
      <c r="L52" s="38"/>
      <c r="M52" s="97"/>
      <c r="N52" s="57"/>
      <c r="O52" s="57"/>
      <c r="P52" s="57"/>
    </row>
    <row r="53" spans="1:16" ht="25.5">
      <c r="A53" s="19" t="s">
        <v>54</v>
      </c>
      <c r="B53" s="19" t="s">
        <v>149</v>
      </c>
      <c r="C53" s="19">
        <v>1000</v>
      </c>
      <c r="D53" s="19">
        <v>1000</v>
      </c>
      <c r="F53" s="38"/>
      <c r="G53" s="38"/>
      <c r="H53" s="38"/>
      <c r="I53" s="38"/>
      <c r="J53" s="38"/>
      <c r="K53" s="38"/>
      <c r="L53" s="38"/>
      <c r="M53" s="97"/>
      <c r="N53" s="57"/>
      <c r="O53" s="57"/>
      <c r="P53" s="57"/>
    </row>
    <row r="54" spans="1:16" ht="25.5">
      <c r="A54" s="19" t="s">
        <v>49</v>
      </c>
      <c r="B54" s="19" t="s">
        <v>149</v>
      </c>
      <c r="C54" s="19">
        <v>607</v>
      </c>
      <c r="D54" s="19">
        <v>686</v>
      </c>
      <c r="F54" s="38"/>
      <c r="G54" s="38"/>
      <c r="H54" s="38"/>
      <c r="I54" s="38"/>
      <c r="J54" s="38"/>
      <c r="K54" s="38"/>
      <c r="L54" s="38"/>
      <c r="M54" s="97"/>
      <c r="N54" s="57"/>
      <c r="O54" s="57"/>
      <c r="P54" s="57"/>
    </row>
    <row r="55" spans="1:16" ht="25.5">
      <c r="A55" s="19" t="s">
        <v>177</v>
      </c>
      <c r="B55" s="19" t="s">
        <v>149</v>
      </c>
      <c r="C55" s="19">
        <v>600</v>
      </c>
      <c r="D55" s="19">
        <v>600</v>
      </c>
      <c r="F55" s="38"/>
      <c r="G55" s="38"/>
      <c r="H55" s="38"/>
      <c r="I55" s="38"/>
      <c r="J55" s="38"/>
      <c r="K55" s="38"/>
      <c r="L55" s="38"/>
      <c r="M55" s="97"/>
      <c r="N55" s="57"/>
      <c r="O55" s="57"/>
      <c r="P55" s="57"/>
    </row>
    <row r="56" spans="1:16" ht="25.5">
      <c r="A56" s="19" t="s">
        <v>160</v>
      </c>
      <c r="B56" s="19" t="s">
        <v>149</v>
      </c>
      <c r="C56" s="19">
        <v>372</v>
      </c>
      <c r="D56" s="19">
        <v>480</v>
      </c>
      <c r="F56" s="38"/>
      <c r="G56" s="38"/>
      <c r="H56" s="38"/>
      <c r="I56" s="38"/>
      <c r="J56" s="38"/>
      <c r="K56" s="38"/>
      <c r="L56" s="38"/>
      <c r="M56" s="97"/>
      <c r="N56" s="57"/>
      <c r="O56" s="57"/>
      <c r="P56" s="57"/>
    </row>
    <row r="57" spans="1:16" ht="25.5">
      <c r="A57" s="19" t="s">
        <v>206</v>
      </c>
      <c r="B57" s="19" t="s">
        <v>149</v>
      </c>
      <c r="C57" s="19">
        <v>230</v>
      </c>
      <c r="D57" s="19">
        <v>231</v>
      </c>
      <c r="F57" s="38"/>
      <c r="G57" s="38"/>
      <c r="H57" s="38"/>
      <c r="I57" s="38"/>
      <c r="J57" s="38"/>
      <c r="K57" s="38"/>
      <c r="L57" s="38"/>
      <c r="M57" s="97"/>
      <c r="N57" s="57"/>
      <c r="O57" s="57"/>
      <c r="P57" s="57"/>
    </row>
    <row r="58" spans="1:16" ht="25.5">
      <c r="A58" s="19" t="s">
        <v>176</v>
      </c>
      <c r="B58" s="19" t="s">
        <v>149</v>
      </c>
      <c r="C58" s="19">
        <v>215</v>
      </c>
      <c r="D58" s="19">
        <v>215</v>
      </c>
      <c r="F58" s="38"/>
      <c r="G58" s="38"/>
      <c r="H58" s="38"/>
      <c r="I58" s="38"/>
      <c r="J58" s="38"/>
      <c r="K58" s="38"/>
      <c r="L58" s="38"/>
      <c r="M58" s="97"/>
      <c r="N58" s="57"/>
      <c r="O58" s="57"/>
      <c r="P58" s="57"/>
    </row>
    <row r="59" spans="6:16" ht="12.75">
      <c r="F59" s="38"/>
      <c r="G59" s="38"/>
      <c r="H59" s="38"/>
      <c r="I59" s="38"/>
      <c r="J59" s="38"/>
      <c r="K59" s="38"/>
      <c r="L59" s="38"/>
      <c r="M59" s="55"/>
      <c r="N59" s="57"/>
      <c r="O59" s="57"/>
      <c r="P59" s="57"/>
    </row>
    <row r="60" spans="6:16" ht="12.75">
      <c r="F60" s="38"/>
      <c r="G60" s="38"/>
      <c r="H60" s="38"/>
      <c r="I60" s="38"/>
      <c r="J60" s="38"/>
      <c r="K60" s="38"/>
      <c r="L60" s="38"/>
      <c r="M60" s="55"/>
      <c r="N60" s="57"/>
      <c r="O60" s="57"/>
      <c r="P60" s="57"/>
    </row>
    <row r="61" spans="1:16" ht="15.75">
      <c r="A61" s="220" t="s">
        <v>35</v>
      </c>
      <c r="B61" s="224" t="s">
        <v>45</v>
      </c>
      <c r="C61" s="221"/>
      <c r="D61" s="221"/>
      <c r="E61" s="221"/>
      <c r="G61" s="38"/>
      <c r="H61" s="38"/>
      <c r="I61" s="38"/>
      <c r="J61" s="38"/>
      <c r="K61" s="38"/>
      <c r="L61" s="38"/>
      <c r="M61" s="55"/>
      <c r="N61" s="57"/>
      <c r="O61" s="57"/>
      <c r="P61" s="57"/>
    </row>
    <row r="62" spans="1:16" ht="12.75">
      <c r="A62"/>
      <c r="B62" s="9" t="s">
        <v>240</v>
      </c>
      <c r="C62"/>
      <c r="D62"/>
      <c r="E62" s="4"/>
      <c r="G62" s="38"/>
      <c r="H62" s="38"/>
      <c r="I62" s="38"/>
      <c r="J62" s="38"/>
      <c r="K62" s="38"/>
      <c r="L62" s="38"/>
      <c r="M62" s="55"/>
      <c r="N62" s="57"/>
      <c r="O62" s="57"/>
      <c r="P62" s="57"/>
    </row>
    <row r="63" spans="6:16" ht="12.75">
      <c r="F63" s="38"/>
      <c r="G63" s="38"/>
      <c r="H63" s="38"/>
      <c r="I63" s="38"/>
      <c r="J63" s="38"/>
      <c r="K63" s="38"/>
      <c r="L63" s="38"/>
      <c r="M63" s="55"/>
      <c r="N63" s="57"/>
      <c r="O63" s="57"/>
      <c r="P63" s="57"/>
    </row>
    <row r="64" spans="6:16" ht="12.75">
      <c r="F64" s="38"/>
      <c r="G64" s="38"/>
      <c r="H64" s="38"/>
      <c r="I64" s="38"/>
      <c r="J64" s="38"/>
      <c r="K64" s="38"/>
      <c r="L64" s="38"/>
      <c r="M64" s="55"/>
      <c r="N64" s="57"/>
      <c r="O64" s="57"/>
      <c r="P64" s="57"/>
    </row>
    <row r="65" spans="6:16" ht="12.75">
      <c r="F65" s="38"/>
      <c r="G65" s="38"/>
      <c r="H65" s="38"/>
      <c r="I65" s="38"/>
      <c r="J65" s="38"/>
      <c r="K65" s="38"/>
      <c r="L65" s="38"/>
      <c r="M65" s="55"/>
      <c r="N65" s="57"/>
      <c r="O65" s="57"/>
      <c r="P65" s="57"/>
    </row>
    <row r="66" spans="6:16" ht="12.75">
      <c r="F66" s="38"/>
      <c r="G66" s="38"/>
      <c r="H66" s="38"/>
      <c r="I66" s="38"/>
      <c r="J66" s="38"/>
      <c r="K66" s="38"/>
      <c r="L66" s="38"/>
      <c r="M66" s="55"/>
      <c r="N66" s="57"/>
      <c r="O66" s="57"/>
      <c r="P66" s="57"/>
    </row>
    <row r="67" spans="6:16" ht="12.75">
      <c r="F67" s="38"/>
      <c r="G67" s="38"/>
      <c r="H67" s="38"/>
      <c r="I67" s="38"/>
      <c r="J67" s="38"/>
      <c r="K67" s="38"/>
      <c r="L67" s="38"/>
      <c r="M67" s="55"/>
      <c r="N67" s="57"/>
      <c r="O67" s="57"/>
      <c r="P67" s="57"/>
    </row>
    <row r="68" spans="6:16" ht="12.75">
      <c r="F68" s="38"/>
      <c r="G68" s="38"/>
      <c r="H68" s="38"/>
      <c r="I68" s="38"/>
      <c r="J68" s="38"/>
      <c r="K68" s="38"/>
      <c r="L68" s="38"/>
      <c r="M68" s="55"/>
      <c r="N68" s="57"/>
      <c r="O68" s="57"/>
      <c r="P68" s="57"/>
    </row>
    <row r="69" spans="6:16" ht="12.75">
      <c r="F69" s="38"/>
      <c r="G69" s="38"/>
      <c r="H69" s="38"/>
      <c r="I69" s="38"/>
      <c r="J69" s="38"/>
      <c r="K69" s="38"/>
      <c r="L69" s="38"/>
      <c r="M69" s="55"/>
      <c r="N69" s="57"/>
      <c r="O69" s="57"/>
      <c r="P69" s="57"/>
    </row>
    <row r="70" spans="6:16" ht="12.75">
      <c r="F70" s="38"/>
      <c r="G70" s="38"/>
      <c r="H70" s="38"/>
      <c r="I70" s="38"/>
      <c r="J70" s="38"/>
      <c r="K70" s="38"/>
      <c r="L70" s="38"/>
      <c r="M70" s="55"/>
      <c r="N70" s="73"/>
      <c r="O70" s="73"/>
      <c r="P70" s="73"/>
    </row>
    <row r="71" spans="6:16" ht="12.75">
      <c r="F71" s="38"/>
      <c r="G71" s="38"/>
      <c r="H71" s="38"/>
      <c r="I71" s="38"/>
      <c r="J71" s="38"/>
      <c r="K71" s="38"/>
      <c r="L71" s="38"/>
      <c r="M71" s="55"/>
      <c r="N71" s="73"/>
      <c r="O71" s="73"/>
      <c r="P71" s="73"/>
    </row>
    <row r="72" spans="6:16" ht="12.75">
      <c r="F72" s="38"/>
      <c r="G72" s="38"/>
      <c r="H72" s="38"/>
      <c r="I72" s="38"/>
      <c r="J72" s="38"/>
      <c r="K72" s="38"/>
      <c r="L72" s="38"/>
      <c r="M72" s="55"/>
      <c r="N72" s="73"/>
      <c r="O72" s="73"/>
      <c r="P72" s="73"/>
    </row>
    <row r="73" spans="6:16" ht="12.75">
      <c r="F73" s="38"/>
      <c r="G73" s="38"/>
      <c r="H73" s="38"/>
      <c r="I73" s="38"/>
      <c r="J73" s="38"/>
      <c r="K73" s="38"/>
      <c r="L73" s="38"/>
      <c r="M73" s="55"/>
      <c r="N73" s="73"/>
      <c r="O73" s="73"/>
      <c r="P73" s="73"/>
    </row>
    <row r="74" spans="6:16" ht="12.75">
      <c r="F74" s="38"/>
      <c r="G74" s="38"/>
      <c r="H74" s="38"/>
      <c r="I74" s="38"/>
      <c r="J74" s="38"/>
      <c r="K74" s="38"/>
      <c r="L74" s="38"/>
      <c r="M74" s="55"/>
      <c r="N74" s="73"/>
      <c r="O74" s="73"/>
      <c r="P74" s="73"/>
    </row>
    <row r="75" spans="6:16" ht="12.75">
      <c r="F75" s="38"/>
      <c r="G75" s="38"/>
      <c r="H75" s="38"/>
      <c r="I75" s="38"/>
      <c r="J75" s="38"/>
      <c r="K75" s="38"/>
      <c r="L75" s="38"/>
      <c r="M75" s="55"/>
      <c r="N75" s="73"/>
      <c r="O75" s="73"/>
      <c r="P75" s="73"/>
    </row>
    <row r="76" spans="6:16" ht="12.75">
      <c r="F76" s="38"/>
      <c r="G76" s="38"/>
      <c r="H76" s="38"/>
      <c r="I76" s="38"/>
      <c r="J76" s="38"/>
      <c r="K76" s="38"/>
      <c r="L76" s="38"/>
      <c r="M76" s="55"/>
      <c r="N76" s="73"/>
      <c r="O76" s="73"/>
      <c r="P76" s="73"/>
    </row>
    <row r="77" spans="6:16" ht="12.75">
      <c r="F77" s="38"/>
      <c r="G77" s="38"/>
      <c r="H77" s="38"/>
      <c r="I77" s="38"/>
      <c r="J77" s="38"/>
      <c r="K77" s="38"/>
      <c r="L77" s="38"/>
      <c r="M77" s="55"/>
      <c r="N77" s="73"/>
      <c r="O77" s="73"/>
      <c r="P77" s="73"/>
    </row>
    <row r="78" spans="6:16" ht="12.75">
      <c r="F78" s="55"/>
      <c r="G78" s="55"/>
      <c r="H78" s="55"/>
      <c r="I78" s="55"/>
      <c r="J78" s="55"/>
      <c r="K78" s="55"/>
      <c r="L78" s="55"/>
      <c r="M78" s="55"/>
      <c r="N78" s="55"/>
      <c r="O78" s="55"/>
      <c r="P78" s="55"/>
    </row>
    <row r="79" spans="6:16" ht="12.75">
      <c r="F79" s="55"/>
      <c r="G79" s="55"/>
      <c r="H79" s="55"/>
      <c r="I79" s="55"/>
      <c r="J79" s="55"/>
      <c r="K79" s="55"/>
      <c r="L79" s="55"/>
      <c r="M79" s="55"/>
      <c r="N79" s="55"/>
      <c r="O79" s="55"/>
      <c r="P79" s="55"/>
    </row>
  </sheetData>
  <mergeCells count="4">
    <mergeCell ref="A3:D3"/>
    <mergeCell ref="F3:H3"/>
    <mergeCell ref="J3:K3"/>
    <mergeCell ref="M2:P2"/>
  </mergeCells>
  <hyperlinks>
    <hyperlink ref="B61" r:id="rId1" display="http://faostat.fao.org/site/616/default.aspx#ancor"/>
  </hyperlinks>
  <printOptions/>
  <pageMargins left="0.787401575" right="0.787401575" top="1" bottom="1" header="0" footer="0"/>
  <pageSetup orientation="portrait" paperSize="9"/>
  <ignoredErrors>
    <ignoredError sqref="O7 O23:P23 P6 O27" formula="1"/>
  </ignoredErrors>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85"/>
  <sheetViews>
    <sheetView workbookViewId="0" topLeftCell="A1">
      <selection activeCell="C7" sqref="C7"/>
    </sheetView>
  </sheetViews>
  <sheetFormatPr defaultColWidth="11.00390625" defaultRowHeight="12.75"/>
  <cols>
    <col min="1" max="1" width="12.875" style="0" bestFit="1" customWidth="1"/>
    <col min="2" max="2" width="11.375" style="0" customWidth="1"/>
    <col min="3" max="3" width="12.25390625" style="0" customWidth="1"/>
    <col min="6" max="6" width="3.375" style="0" customWidth="1"/>
    <col min="7" max="7" width="11.125" style="0" customWidth="1"/>
    <col min="8" max="8" width="3.625" style="0" customWidth="1"/>
    <col min="9" max="9" width="9.25390625" style="0" customWidth="1"/>
    <col min="10" max="10" width="16.625" style="0" customWidth="1"/>
    <col min="11" max="11" width="15.125" style="0" customWidth="1"/>
    <col min="12" max="12" width="19.375" style="0" customWidth="1"/>
  </cols>
  <sheetData>
    <row r="1" spans="1:12" ht="12.75">
      <c r="A1" s="283" t="s">
        <v>9</v>
      </c>
      <c r="B1" s="284"/>
      <c r="C1" s="284"/>
      <c r="D1" s="284"/>
      <c r="E1" s="284"/>
      <c r="F1" s="284"/>
      <c r="G1" s="284"/>
      <c r="H1" s="284"/>
      <c r="I1" s="284"/>
      <c r="J1" s="284"/>
      <c r="K1" s="284"/>
      <c r="L1" s="285"/>
    </row>
    <row r="2" spans="1:12" ht="12.75">
      <c r="A2" s="286"/>
      <c r="B2" s="287"/>
      <c r="C2" s="287"/>
      <c r="D2" s="287"/>
      <c r="E2" s="287"/>
      <c r="F2" s="287"/>
      <c r="G2" s="287"/>
      <c r="H2" s="287"/>
      <c r="I2" s="287"/>
      <c r="J2" s="287"/>
      <c r="K2" s="287"/>
      <c r="L2" s="288"/>
    </row>
    <row r="4" spans="9:12" ht="15.75">
      <c r="I4" s="262" t="s">
        <v>84</v>
      </c>
      <c r="J4" s="263"/>
      <c r="K4" s="263"/>
      <c r="L4" s="264"/>
    </row>
    <row r="5" spans="1:12" ht="12.75">
      <c r="A5" s="269" t="s">
        <v>77</v>
      </c>
      <c r="B5" s="270"/>
      <c r="C5" s="270"/>
      <c r="D5" s="270"/>
      <c r="E5" s="271"/>
      <c r="F5" s="138"/>
      <c r="G5" s="215" t="s">
        <v>41</v>
      </c>
      <c r="H5" s="9"/>
      <c r="I5" s="85"/>
      <c r="J5" s="53"/>
      <c r="K5" s="54"/>
      <c r="L5" s="217" t="s">
        <v>86</v>
      </c>
    </row>
    <row r="6" spans="1:12" ht="14.25" customHeight="1">
      <c r="A6" s="99" t="s">
        <v>0</v>
      </c>
      <c r="B6" s="115" t="s">
        <v>74</v>
      </c>
      <c r="C6" s="99" t="s">
        <v>75</v>
      </c>
      <c r="D6" s="109">
        <v>2006</v>
      </c>
      <c r="E6" s="99">
        <v>2007</v>
      </c>
      <c r="F6" s="86"/>
      <c r="G6" s="106" t="s">
        <v>225</v>
      </c>
      <c r="H6" s="9"/>
      <c r="I6" s="104" t="s">
        <v>74</v>
      </c>
      <c r="J6" s="102" t="s">
        <v>226</v>
      </c>
      <c r="K6" s="105" t="s">
        <v>238</v>
      </c>
      <c r="L6" s="106" t="s">
        <v>236</v>
      </c>
    </row>
    <row r="7" spans="1:12" ht="12.75">
      <c r="A7" s="87" t="s">
        <v>116</v>
      </c>
      <c r="B7" s="96" t="s">
        <v>219</v>
      </c>
      <c r="C7" s="88" t="s">
        <v>149</v>
      </c>
      <c r="D7" s="127">
        <v>17770660</v>
      </c>
      <c r="E7" s="127">
        <v>45754340</v>
      </c>
      <c r="F7" s="56"/>
      <c r="G7" s="148">
        <f>0.41*E7</f>
        <v>18759279.4</v>
      </c>
      <c r="H7" s="9"/>
      <c r="I7" s="90" t="str">
        <f>A7</f>
        <v>Brazil</v>
      </c>
      <c r="J7" s="142">
        <f>(G7*600)*(4/5.67)</f>
        <v>7940435724.867724</v>
      </c>
      <c r="K7" s="142">
        <f>(0.001*E7)*13585</f>
        <v>621572708.9000001</v>
      </c>
      <c r="L7" s="118">
        <f>(0.02*E7)*580</f>
        <v>530750344</v>
      </c>
    </row>
    <row r="8" spans="1:12" ht="12.75">
      <c r="A8" s="116" t="s">
        <v>117</v>
      </c>
      <c r="B8" s="117" t="s">
        <v>219</v>
      </c>
      <c r="C8" s="116" t="s">
        <v>149</v>
      </c>
      <c r="D8" s="128">
        <v>4217577</v>
      </c>
      <c r="E8" s="128">
        <v>5332796</v>
      </c>
      <c r="F8" s="56"/>
      <c r="G8" s="130">
        <f>0.41*E8</f>
        <v>2186446.36</v>
      </c>
      <c r="H8" s="9"/>
      <c r="I8" s="141" t="str">
        <f>A8</f>
        <v>India</v>
      </c>
      <c r="J8" s="137">
        <f>(G8*600)*(4/5.67)</f>
        <v>925479940.7407407</v>
      </c>
      <c r="K8" s="137">
        <f>(0.001*E8)*13585</f>
        <v>72446033.66</v>
      </c>
      <c r="L8" s="130">
        <f>(0.02*E8)*580</f>
        <v>61860433.6</v>
      </c>
    </row>
    <row r="9" spans="1:12" ht="12.75">
      <c r="A9" s="89" t="s">
        <v>118</v>
      </c>
      <c r="B9" s="98" t="s">
        <v>219</v>
      </c>
      <c r="C9" s="89" t="s">
        <v>149</v>
      </c>
      <c r="D9" s="72">
        <v>1607608</v>
      </c>
      <c r="E9" s="72">
        <v>1705722</v>
      </c>
      <c r="F9" s="56"/>
      <c r="G9" s="119">
        <f>0.41*E9</f>
        <v>699346.0199999999</v>
      </c>
      <c r="H9" s="9"/>
      <c r="I9" s="91" t="str">
        <f>A9</f>
        <v>Philippines</v>
      </c>
      <c r="J9" s="140">
        <f>(G9*600)*(4/5.67)</f>
        <v>296019479.3650793</v>
      </c>
      <c r="K9" s="140">
        <f>(0.001*E9)*13585</f>
        <v>23172233.37</v>
      </c>
      <c r="L9" s="119">
        <f>(0.02*E9)*580</f>
        <v>19786375.200000003</v>
      </c>
    </row>
    <row r="10" spans="1:12" ht="12.75">
      <c r="A10" s="9"/>
      <c r="B10" s="9"/>
      <c r="C10" s="97"/>
      <c r="D10" s="74"/>
      <c r="E10" s="74"/>
      <c r="F10" s="68"/>
      <c r="G10" s="56"/>
      <c r="H10" s="9"/>
      <c r="I10" s="122"/>
      <c r="J10" s="56"/>
      <c r="K10" s="56"/>
      <c r="L10" s="56"/>
    </row>
    <row r="11" spans="1:12" ht="12.75">
      <c r="A11" s="87" t="s">
        <v>119</v>
      </c>
      <c r="B11" s="96" t="s">
        <v>1</v>
      </c>
      <c r="C11" s="87" t="s">
        <v>149</v>
      </c>
      <c r="D11" s="127">
        <v>8716499</v>
      </c>
      <c r="E11" s="129">
        <v>8772581</v>
      </c>
      <c r="F11" s="56"/>
      <c r="G11" s="118">
        <f>0.3425*E11</f>
        <v>3004608.9925</v>
      </c>
      <c r="H11" s="9"/>
      <c r="I11" s="123" t="str">
        <f>A11</f>
        <v>China</v>
      </c>
      <c r="J11" s="142">
        <f>(G11*600)*(4/5.67)</f>
        <v>1271792166.137566</v>
      </c>
      <c r="K11" s="142">
        <f>(0.031*E11)*13585</f>
        <v>3694440899.435</v>
      </c>
      <c r="L11" s="118">
        <f>(0.0369*E11)*580</f>
        <v>187750778.562</v>
      </c>
    </row>
    <row r="12" spans="1:12" ht="12.75">
      <c r="A12" s="116" t="s">
        <v>120</v>
      </c>
      <c r="B12" s="117" t="s">
        <v>1</v>
      </c>
      <c r="C12" s="116" t="s">
        <v>149</v>
      </c>
      <c r="D12" s="128">
        <v>4333137</v>
      </c>
      <c r="E12" s="130">
        <v>4616955</v>
      </c>
      <c r="F12" s="56"/>
      <c r="G12" s="130">
        <f>0.3425*E12</f>
        <v>1581307.0875000001</v>
      </c>
      <c r="H12" s="9"/>
      <c r="I12" s="133" t="str">
        <f>A12</f>
        <v>Indonesia</v>
      </c>
      <c r="J12" s="137">
        <f>(G12*600)*(4/5.67)</f>
        <v>669336333.3333334</v>
      </c>
      <c r="K12" s="137">
        <f>(0.031*E12)*13585</f>
        <v>1944361343.9250002</v>
      </c>
      <c r="L12" s="130">
        <f>(0.0369*E12)*580</f>
        <v>98812070.91000001</v>
      </c>
    </row>
    <row r="13" spans="1:12" ht="12.75">
      <c r="A13" s="89" t="s">
        <v>117</v>
      </c>
      <c r="B13" s="98" t="s">
        <v>1</v>
      </c>
      <c r="C13" s="89" t="s">
        <v>149</v>
      </c>
      <c r="D13" s="72">
        <v>4174110</v>
      </c>
      <c r="E13" s="131">
        <v>4337100</v>
      </c>
      <c r="F13" s="56"/>
      <c r="G13" s="119">
        <f>0.3425*E13</f>
        <v>1485456.75</v>
      </c>
      <c r="H13" s="9"/>
      <c r="I13" s="125" t="str">
        <f>A13</f>
        <v>India</v>
      </c>
      <c r="J13" s="140">
        <f>(G13*600)*(4/5.67)</f>
        <v>628764761.9047619</v>
      </c>
      <c r="K13" s="140">
        <f>(0.031*E13)*13585</f>
        <v>1826504608.5</v>
      </c>
      <c r="L13" s="119">
        <f>(0.0369*E13)*580</f>
        <v>92822614.20000002</v>
      </c>
    </row>
    <row r="14" spans="1:12" ht="12.75">
      <c r="A14" s="9"/>
      <c r="B14" s="9"/>
      <c r="C14" s="97"/>
      <c r="D14" s="74"/>
      <c r="E14" s="74"/>
      <c r="F14" s="68"/>
      <c r="G14" s="56"/>
      <c r="H14" s="9"/>
      <c r="I14" s="122"/>
      <c r="J14" s="56"/>
      <c r="K14" s="56"/>
      <c r="L14" s="56"/>
    </row>
    <row r="15" spans="1:12" ht="12.75">
      <c r="A15" s="87" t="s">
        <v>119</v>
      </c>
      <c r="B15" s="96" t="s">
        <v>179</v>
      </c>
      <c r="C15" s="87" t="s">
        <v>149</v>
      </c>
      <c r="D15" s="127">
        <v>5950575</v>
      </c>
      <c r="E15" s="127">
        <v>6330576</v>
      </c>
      <c r="F15" s="56"/>
      <c r="G15" s="118">
        <f>0.7177*E15</f>
        <v>4543454.3952</v>
      </c>
      <c r="H15" s="9"/>
      <c r="I15" s="123" t="str">
        <f>A15</f>
        <v>China</v>
      </c>
      <c r="J15" s="142">
        <f>(G15*600)*(4/5.67)</f>
        <v>1923155299.5555553</v>
      </c>
      <c r="K15" s="142">
        <f>(0.035*E15)*13585</f>
        <v>3010030623.6000004</v>
      </c>
      <c r="L15" s="118">
        <f>(0.0945*E15)*580</f>
        <v>346978870.56</v>
      </c>
    </row>
    <row r="16" spans="1:12" ht="12.75">
      <c r="A16" s="116" t="s">
        <v>116</v>
      </c>
      <c r="B16" s="117" t="s">
        <v>179</v>
      </c>
      <c r="C16" s="116" t="s">
        <v>149</v>
      </c>
      <c r="D16" s="128">
        <v>4361806</v>
      </c>
      <c r="E16" s="128">
        <v>5320774</v>
      </c>
      <c r="F16" s="56"/>
      <c r="G16" s="130">
        <f>0.7177*E16</f>
        <v>3818719.4998</v>
      </c>
      <c r="H16" s="9"/>
      <c r="I16" s="133" t="str">
        <f>A16</f>
        <v>Brazil</v>
      </c>
      <c r="J16" s="137">
        <f>(G16*600)*(4/5.67)</f>
        <v>1616389206.2645502</v>
      </c>
      <c r="K16" s="137">
        <f>(0.035*E16)*13585</f>
        <v>2529895017.6500006</v>
      </c>
      <c r="L16" s="130">
        <f>(0.0945*E16)*580</f>
        <v>291631622.94</v>
      </c>
    </row>
    <row r="17" spans="1:12" ht="12.75">
      <c r="A17" s="89" t="s">
        <v>121</v>
      </c>
      <c r="B17" s="98" t="s">
        <v>179</v>
      </c>
      <c r="C17" s="89" t="s">
        <v>149</v>
      </c>
      <c r="D17" s="72">
        <v>3835696</v>
      </c>
      <c r="E17" s="72">
        <v>3718126</v>
      </c>
      <c r="F17" s="56"/>
      <c r="G17" s="119">
        <f>0.7177*E17</f>
        <v>2668499.0302</v>
      </c>
      <c r="H17" s="9"/>
      <c r="I17" s="125" t="str">
        <f>A17</f>
        <v>Mexico</v>
      </c>
      <c r="J17" s="140">
        <f>(G17*600)*(4/5.67)</f>
        <v>1129523399.026455</v>
      </c>
      <c r="K17" s="140">
        <f>(0.035*E17)*13585</f>
        <v>1767875959.8500001</v>
      </c>
      <c r="L17" s="119">
        <f>(0.0945*E17)*580</f>
        <v>203790486.06</v>
      </c>
    </row>
    <row r="18" spans="1:12" ht="12.75">
      <c r="A18" s="94"/>
      <c r="B18" s="94"/>
      <c r="C18" s="94"/>
      <c r="D18" s="94"/>
      <c r="E18" s="94"/>
      <c r="F18" s="94"/>
      <c r="G18" s="56"/>
      <c r="H18" s="9"/>
      <c r="I18" s="122"/>
      <c r="J18" s="56"/>
      <c r="K18" s="56"/>
      <c r="L18" s="56"/>
    </row>
    <row r="19" spans="1:10" ht="12.75">
      <c r="A19" s="9"/>
      <c r="B19" s="9"/>
      <c r="C19" s="9"/>
      <c r="D19" s="9"/>
      <c r="E19" s="9"/>
      <c r="F19" s="94"/>
      <c r="G19" s="56"/>
      <c r="H19" s="9"/>
      <c r="I19" s="9"/>
      <c r="J19" s="9"/>
    </row>
    <row r="20" spans="6:12" ht="15.75">
      <c r="F20" s="4"/>
      <c r="G20" s="56"/>
      <c r="I20" s="262" t="s">
        <v>84</v>
      </c>
      <c r="J20" s="263"/>
      <c r="K20" s="263"/>
      <c r="L20" s="264"/>
    </row>
    <row r="21" spans="1:12" ht="12.75">
      <c r="A21" s="268" t="s">
        <v>80</v>
      </c>
      <c r="B21" s="268"/>
      <c r="C21" s="268"/>
      <c r="D21" s="268"/>
      <c r="E21" s="268"/>
      <c r="F21" s="138"/>
      <c r="G21" s="215" t="s">
        <v>41</v>
      </c>
      <c r="H21" s="9"/>
      <c r="I21" s="85"/>
      <c r="J21" s="53"/>
      <c r="K21" s="54"/>
      <c r="L21" s="217" t="s">
        <v>86</v>
      </c>
    </row>
    <row r="22" spans="1:12" ht="12.75">
      <c r="A22" s="99" t="s">
        <v>0</v>
      </c>
      <c r="B22" s="115" t="s">
        <v>74</v>
      </c>
      <c r="C22" s="99" t="s">
        <v>75</v>
      </c>
      <c r="D22" s="109">
        <v>2006</v>
      </c>
      <c r="E22" s="99">
        <v>2007</v>
      </c>
      <c r="F22" s="86"/>
      <c r="G22" s="106" t="s">
        <v>225</v>
      </c>
      <c r="H22" s="9"/>
      <c r="I22" s="104" t="s">
        <v>74</v>
      </c>
      <c r="J22" s="105" t="s">
        <v>85</v>
      </c>
      <c r="K22" s="105" t="s">
        <v>10</v>
      </c>
      <c r="L22" s="106" t="s">
        <v>87</v>
      </c>
    </row>
    <row r="23" spans="1:12" ht="12.75">
      <c r="A23" s="87" t="s">
        <v>122</v>
      </c>
      <c r="B23" s="96" t="s">
        <v>198</v>
      </c>
      <c r="C23" s="88" t="s">
        <v>149</v>
      </c>
      <c r="D23" s="127">
        <v>800000</v>
      </c>
      <c r="E23" s="127">
        <v>1000000</v>
      </c>
      <c r="F23" s="56"/>
      <c r="G23" s="218">
        <f>0.096*E23</f>
        <v>96000</v>
      </c>
      <c r="H23" s="9"/>
      <c r="I23" s="123" t="str">
        <f>A23</f>
        <v>Poland</v>
      </c>
      <c r="J23" s="142">
        <f>(G23*600)*(4/5.67)</f>
        <v>40634920.634920634</v>
      </c>
      <c r="K23" s="142">
        <f>(0.096*E23)*13585</f>
        <v>1304160000</v>
      </c>
      <c r="L23" s="118">
        <f>(0.0225*E23)*580</f>
        <v>13050000</v>
      </c>
    </row>
    <row r="24" spans="1:12" ht="12.75">
      <c r="A24" s="116" t="s">
        <v>123</v>
      </c>
      <c r="B24" s="117" t="s">
        <v>198</v>
      </c>
      <c r="C24" s="116" t="s">
        <v>149</v>
      </c>
      <c r="D24" s="128">
        <v>820205</v>
      </c>
      <c r="E24" s="128">
        <v>920395</v>
      </c>
      <c r="F24" s="56"/>
      <c r="G24" s="130">
        <f>0.096*E24</f>
        <v>88357.92</v>
      </c>
      <c r="H24" s="9"/>
      <c r="I24" s="133" t="str">
        <f>A24</f>
        <v>Germany</v>
      </c>
      <c r="J24" s="137">
        <f>(G24*600)*(4/5.67)</f>
        <v>37400177.777777776</v>
      </c>
      <c r="K24" s="137">
        <f>(0.096*E24)*13585</f>
        <v>1200342343.2</v>
      </c>
      <c r="L24" s="130">
        <f>(0.0225*E24)*580</f>
        <v>12011154.75</v>
      </c>
    </row>
    <row r="25" spans="1:12" ht="12.75">
      <c r="A25" s="89" t="s">
        <v>124</v>
      </c>
      <c r="B25" s="98" t="s">
        <v>198</v>
      </c>
      <c r="C25" s="89" t="s">
        <v>149</v>
      </c>
      <c r="D25" s="72">
        <v>707000</v>
      </c>
      <c r="E25" s="72">
        <v>710000</v>
      </c>
      <c r="F25" s="56"/>
      <c r="G25" s="131">
        <f>0.096*E25</f>
        <v>68160</v>
      </c>
      <c r="H25" s="9"/>
      <c r="I25" s="125" t="str">
        <f>A25</f>
        <v>France</v>
      </c>
      <c r="J25" s="140">
        <f>(G25*600)*(4/5.67)</f>
        <v>28850793.65079365</v>
      </c>
      <c r="K25" s="140">
        <f>(0.096*E25)*13585</f>
        <v>925953600</v>
      </c>
      <c r="L25" s="119">
        <f>(0.0225*E25)*580</f>
        <v>9265500</v>
      </c>
    </row>
    <row r="26" spans="1:12" ht="12.75">
      <c r="A26" s="9"/>
      <c r="B26" s="9"/>
      <c r="C26" s="97"/>
      <c r="D26" s="74"/>
      <c r="E26" s="74"/>
      <c r="F26" s="68"/>
      <c r="G26" s="56"/>
      <c r="H26" s="9"/>
      <c r="I26" s="122"/>
      <c r="J26" s="56"/>
      <c r="K26" s="56"/>
      <c r="L26" s="56"/>
    </row>
    <row r="27" spans="1:12" ht="12.75">
      <c r="A27" s="87" t="s">
        <v>125</v>
      </c>
      <c r="B27" s="96" t="s">
        <v>53</v>
      </c>
      <c r="C27" s="87" t="s">
        <v>149</v>
      </c>
      <c r="D27" s="127">
        <v>2150000</v>
      </c>
      <c r="E27" s="129">
        <v>2150000</v>
      </c>
      <c r="F27" s="56"/>
      <c r="G27" s="129">
        <f>0.353*E27</f>
        <v>758950</v>
      </c>
      <c r="H27" s="9"/>
      <c r="I27" s="123" t="str">
        <f>A27</f>
        <v>Turkey</v>
      </c>
      <c r="J27" s="142">
        <f>(G27*600)*(4/5.67)</f>
        <v>321248677.24867725</v>
      </c>
      <c r="K27" s="142">
        <f>(0.05*E27)*13585</f>
        <v>1460387500</v>
      </c>
      <c r="L27" s="118">
        <f>(0.0233*E27)*580</f>
        <v>29055100</v>
      </c>
    </row>
    <row r="28" spans="1:12" ht="12.75">
      <c r="A28" s="116" t="s">
        <v>123</v>
      </c>
      <c r="B28" s="117" t="s">
        <v>53</v>
      </c>
      <c r="C28" s="116" t="s">
        <v>149</v>
      </c>
      <c r="D28" s="128">
        <v>548000</v>
      </c>
      <c r="E28" s="130">
        <v>500000</v>
      </c>
      <c r="F28" s="56"/>
      <c r="G28" s="130">
        <f>0.353*E28</f>
        <v>176500</v>
      </c>
      <c r="H28" s="9"/>
      <c r="I28" s="133" t="str">
        <f>A28</f>
        <v>Germany</v>
      </c>
      <c r="J28" s="137">
        <f>(G28*600)*(4/5.67)</f>
        <v>74708994.7089947</v>
      </c>
      <c r="K28" s="137">
        <f>(0.05*E28)*13585</f>
        <v>339625000</v>
      </c>
      <c r="L28" s="130">
        <f>(0.0233*E28)*580</f>
        <v>6757000</v>
      </c>
    </row>
    <row r="29" spans="1:12" ht="12.75">
      <c r="A29" s="89" t="s">
        <v>122</v>
      </c>
      <c r="B29" s="98" t="s">
        <v>53</v>
      </c>
      <c r="C29" s="89" t="s">
        <v>149</v>
      </c>
      <c r="D29" s="72">
        <v>347663</v>
      </c>
      <c r="E29" s="131">
        <v>447719</v>
      </c>
      <c r="F29" s="56"/>
      <c r="G29" s="131">
        <f>0.353*E29</f>
        <v>158044.807</v>
      </c>
      <c r="H29" s="9"/>
      <c r="I29" s="125" t="str">
        <f>A29</f>
        <v>Poland</v>
      </c>
      <c r="J29" s="140">
        <f>(G29*600)*(4/5.67)</f>
        <v>66897272.804232806</v>
      </c>
      <c r="K29" s="140">
        <f>(0.05*E29)*13585</f>
        <v>304113130.75</v>
      </c>
      <c r="L29" s="119">
        <f>(0.0233*E29)*580</f>
        <v>6050474.566000001</v>
      </c>
    </row>
    <row r="30" spans="1:12" ht="12.75">
      <c r="A30" s="9"/>
      <c r="B30" s="9"/>
      <c r="C30" s="97"/>
      <c r="D30" s="74"/>
      <c r="E30" s="74"/>
      <c r="F30" s="68"/>
      <c r="G30" s="57"/>
      <c r="H30" s="9"/>
      <c r="I30" s="122"/>
      <c r="J30" s="56"/>
      <c r="K30" s="56"/>
      <c r="L30" s="56"/>
    </row>
    <row r="31" spans="1:12" ht="12.75">
      <c r="A31" s="87" t="s">
        <v>126</v>
      </c>
      <c r="B31" s="96" t="s">
        <v>179</v>
      </c>
      <c r="C31" s="87" t="s">
        <v>149</v>
      </c>
      <c r="D31" s="127">
        <v>360000</v>
      </c>
      <c r="E31" s="127">
        <v>416000</v>
      </c>
      <c r="F31" s="56"/>
      <c r="G31" s="118">
        <f>0.7177*E31</f>
        <v>298563.2</v>
      </c>
      <c r="H31" s="9"/>
      <c r="I31" s="123" t="str">
        <f>A31</f>
        <v>Ukraine</v>
      </c>
      <c r="J31" s="142">
        <f>(G31*600)*(4/5.67)</f>
        <v>126375957.67195767</v>
      </c>
      <c r="K31" s="142">
        <f>(0.035*E31)*13585</f>
        <v>197797600.00000003</v>
      </c>
      <c r="L31" s="118">
        <f>(0.0945*E31)*580</f>
        <v>22800960</v>
      </c>
    </row>
    <row r="32" spans="1:12" ht="12.75">
      <c r="A32" s="116" t="s">
        <v>127</v>
      </c>
      <c r="B32" s="117" t="s">
        <v>179</v>
      </c>
      <c r="C32" s="116" t="s">
        <v>149</v>
      </c>
      <c r="D32" s="128">
        <v>300916</v>
      </c>
      <c r="E32" s="128">
        <v>195289</v>
      </c>
      <c r="F32" s="56"/>
      <c r="G32" s="130">
        <f>0.7177*E32</f>
        <v>140158.9153</v>
      </c>
      <c r="H32" s="9"/>
      <c r="I32" s="133" t="str">
        <f>A32</f>
        <v>Serbia</v>
      </c>
      <c r="J32" s="137">
        <f>(G32*600)*(4/5.67)</f>
        <v>59326524.994708985</v>
      </c>
      <c r="K32" s="137">
        <f>(0.035*E32)*13585</f>
        <v>92855037.275</v>
      </c>
      <c r="L32" s="130">
        <f>(0.0945*E32)*580</f>
        <v>10703790.09</v>
      </c>
    </row>
    <row r="33" spans="1:12" ht="12.75">
      <c r="A33" s="89" t="s">
        <v>128</v>
      </c>
      <c r="B33" s="98" t="s">
        <v>179</v>
      </c>
      <c r="C33" s="89" t="s">
        <v>149</v>
      </c>
      <c r="D33" s="72">
        <v>170466</v>
      </c>
      <c r="E33" s="72">
        <v>182877</v>
      </c>
      <c r="F33" s="56"/>
      <c r="G33" s="119">
        <f>0.7177*E33</f>
        <v>131250.8229</v>
      </c>
      <c r="H33" s="9"/>
      <c r="I33" s="125" t="str">
        <f>A33</f>
        <v>Greece</v>
      </c>
      <c r="J33" s="140">
        <f>(G33*600)*(4/5.67)</f>
        <v>55555903.873015866</v>
      </c>
      <c r="K33" s="140">
        <f>(0.035*E33)*13585</f>
        <v>86953441.575</v>
      </c>
      <c r="L33" s="119">
        <f>(0.0945*E33)*580</f>
        <v>10023488.37</v>
      </c>
    </row>
    <row r="34" spans="6:7" ht="12.75">
      <c r="F34" s="4"/>
      <c r="G34" s="57"/>
    </row>
    <row r="35" spans="6:7" ht="12.75">
      <c r="F35" s="4"/>
      <c r="G35" s="57"/>
    </row>
    <row r="36" spans="6:12" ht="15.75">
      <c r="F36" s="4"/>
      <c r="G36" s="57"/>
      <c r="I36" s="262" t="s">
        <v>84</v>
      </c>
      <c r="J36" s="263"/>
      <c r="K36" s="263"/>
      <c r="L36" s="264"/>
    </row>
    <row r="37" spans="1:12" ht="12.75">
      <c r="A37" s="268" t="s">
        <v>88</v>
      </c>
      <c r="B37" s="268"/>
      <c r="C37" s="268"/>
      <c r="D37" s="268"/>
      <c r="E37" s="268"/>
      <c r="F37" s="138"/>
      <c r="G37" s="215" t="s">
        <v>41</v>
      </c>
      <c r="H37" s="9"/>
      <c r="I37" s="85"/>
      <c r="J37" s="53"/>
      <c r="K37" s="54"/>
      <c r="L37" s="217" t="s">
        <v>86</v>
      </c>
    </row>
    <row r="38" spans="1:12" ht="12.75">
      <c r="A38" s="99" t="s">
        <v>0</v>
      </c>
      <c r="B38" s="115" t="s">
        <v>74</v>
      </c>
      <c r="C38" s="99" t="s">
        <v>75</v>
      </c>
      <c r="D38" s="109">
        <v>2006</v>
      </c>
      <c r="E38" s="99">
        <v>2007</v>
      </c>
      <c r="F38" s="86"/>
      <c r="G38" s="106" t="s">
        <v>225</v>
      </c>
      <c r="H38" s="9"/>
      <c r="I38" s="104" t="s">
        <v>74</v>
      </c>
      <c r="J38" s="105" t="s">
        <v>85</v>
      </c>
      <c r="K38" s="105" t="s">
        <v>10</v>
      </c>
      <c r="L38" s="106" t="s">
        <v>87</v>
      </c>
    </row>
    <row r="39" spans="1:12" ht="12.75">
      <c r="A39" s="87" t="s">
        <v>116</v>
      </c>
      <c r="B39" s="96" t="s">
        <v>219</v>
      </c>
      <c r="C39" s="88" t="s">
        <v>149</v>
      </c>
      <c r="D39" s="127">
        <v>17770660</v>
      </c>
      <c r="E39" s="127">
        <v>45754340</v>
      </c>
      <c r="F39" s="56"/>
      <c r="G39" s="218">
        <f>0.41*E39</f>
        <v>18759279.4</v>
      </c>
      <c r="H39" s="9"/>
      <c r="I39" s="123" t="str">
        <f>A39</f>
        <v>Brazil</v>
      </c>
      <c r="J39" s="142">
        <f>(G39*600)*(4/5.67)</f>
        <v>7940435724.867724</v>
      </c>
      <c r="K39" s="142">
        <f>(0.001*E39)*13585</f>
        <v>621572708.9000001</v>
      </c>
      <c r="L39" s="118">
        <f>(0.02*E39)*580</f>
        <v>530750344</v>
      </c>
    </row>
    <row r="40" spans="1:12" ht="12.75">
      <c r="A40" s="116" t="s">
        <v>121</v>
      </c>
      <c r="B40" s="117" t="s">
        <v>219</v>
      </c>
      <c r="C40" s="116" t="s">
        <v>149</v>
      </c>
      <c r="D40" s="128">
        <v>1013516</v>
      </c>
      <c r="E40" s="128">
        <v>1041787</v>
      </c>
      <c r="F40" s="56"/>
      <c r="G40" s="130">
        <f>0.41*E40</f>
        <v>427132.67</v>
      </c>
      <c r="H40" s="9"/>
      <c r="I40" s="133" t="str">
        <f>A40</f>
        <v>Mexico</v>
      </c>
      <c r="J40" s="137">
        <f>(G40*600)*(4/5.67)</f>
        <v>180796897.35449734</v>
      </c>
      <c r="K40" s="137">
        <f>(0.001*E40)*13585</f>
        <v>14152676.395</v>
      </c>
      <c r="L40" s="130">
        <f>(0.02*E40)*580</f>
        <v>12084729.200000001</v>
      </c>
    </row>
    <row r="41" spans="1:12" ht="12.75">
      <c r="A41" s="89" t="s">
        <v>129</v>
      </c>
      <c r="B41" s="98" t="s">
        <v>219</v>
      </c>
      <c r="C41" s="89" t="s">
        <v>149</v>
      </c>
      <c r="D41" s="72">
        <v>349781</v>
      </c>
      <c r="E41" s="72">
        <v>418000</v>
      </c>
      <c r="F41" s="56"/>
      <c r="G41" s="131">
        <f>0.41*E41</f>
        <v>171380</v>
      </c>
      <c r="H41" s="9"/>
      <c r="I41" s="125" t="str">
        <f>A41</f>
        <v>Ecuador</v>
      </c>
      <c r="J41" s="140">
        <f>(G41*600)*(4/5.67)</f>
        <v>72541798.94179894</v>
      </c>
      <c r="K41" s="140">
        <f>(0.001*E41)*13585</f>
        <v>5678530</v>
      </c>
      <c r="L41" s="119">
        <f>(0.02*E41)*580</f>
        <v>4848800</v>
      </c>
    </row>
    <row r="42" spans="1:12" ht="12.75">
      <c r="A42" s="9"/>
      <c r="B42" s="9"/>
      <c r="C42" s="97"/>
      <c r="D42" s="74"/>
      <c r="E42" s="74"/>
      <c r="F42" s="68"/>
      <c r="G42" s="56"/>
      <c r="H42" s="9"/>
      <c r="I42" s="122"/>
      <c r="J42" s="56"/>
      <c r="K42" s="56"/>
      <c r="L42" s="56"/>
    </row>
    <row r="43" spans="1:12" ht="12.75">
      <c r="A43" s="87" t="s">
        <v>116</v>
      </c>
      <c r="B43" s="96" t="s">
        <v>179</v>
      </c>
      <c r="C43" s="87" t="s">
        <v>149</v>
      </c>
      <c r="D43" s="127">
        <v>4361806</v>
      </c>
      <c r="E43" s="129">
        <v>5320774</v>
      </c>
      <c r="F43" s="56"/>
      <c r="G43" s="118">
        <f>0.7177*E43</f>
        <v>3818719.4998</v>
      </c>
      <c r="H43" s="9"/>
      <c r="I43" s="123" t="str">
        <f>A43</f>
        <v>Brazil</v>
      </c>
      <c r="J43" s="142">
        <f>(G43*600)*(4/5.67)</f>
        <v>1616389206.2645502</v>
      </c>
      <c r="K43" s="142">
        <f>(0.035*E43)*13585</f>
        <v>2529895017.6500006</v>
      </c>
      <c r="L43" s="118">
        <f>(0.0945*E43)*580</f>
        <v>291631622.94</v>
      </c>
    </row>
    <row r="44" spans="1:12" ht="12.75">
      <c r="A44" s="116" t="s">
        <v>121</v>
      </c>
      <c r="B44" s="117" t="s">
        <v>179</v>
      </c>
      <c r="C44" s="116" t="s">
        <v>149</v>
      </c>
      <c r="D44" s="128">
        <v>3835696</v>
      </c>
      <c r="E44" s="130">
        <v>3718126</v>
      </c>
      <c r="F44" s="56"/>
      <c r="G44" s="130">
        <f>0.7177*E44</f>
        <v>2668499.0302</v>
      </c>
      <c r="H44" s="9"/>
      <c r="I44" s="133" t="str">
        <f>A44</f>
        <v>Mexico</v>
      </c>
      <c r="J44" s="137">
        <f>(G44*600)*(4/5.67)</f>
        <v>1129523399.026455</v>
      </c>
      <c r="K44" s="137">
        <f>(0.035*E44)*13585</f>
        <v>1767875959.8500001</v>
      </c>
      <c r="L44" s="130">
        <f>(0.0945*E44)*580</f>
        <v>203790486.06</v>
      </c>
    </row>
    <row r="45" spans="1:12" ht="12.75">
      <c r="A45" s="89" t="s">
        <v>130</v>
      </c>
      <c r="B45" s="98" t="s">
        <v>179</v>
      </c>
      <c r="C45" s="89" t="s">
        <v>149</v>
      </c>
      <c r="D45" s="72">
        <v>326663</v>
      </c>
      <c r="E45" s="131">
        <v>426835</v>
      </c>
      <c r="F45" s="56"/>
      <c r="G45" s="119">
        <f>0.7177*E45</f>
        <v>306339.4795</v>
      </c>
      <c r="H45" s="9"/>
      <c r="I45" s="125" t="str">
        <f>A45</f>
        <v>Canada</v>
      </c>
      <c r="J45" s="140">
        <f>(G45*600)*(4/5.67)</f>
        <v>129667504.55026455</v>
      </c>
      <c r="K45" s="140">
        <f>(0.035*E45)*13585</f>
        <v>202949371.62500003</v>
      </c>
      <c r="L45" s="119">
        <f>(0.0945*E45)*580</f>
        <v>23394826.35</v>
      </c>
    </row>
    <row r="46" spans="1:12" ht="12.75">
      <c r="A46" s="9"/>
      <c r="B46" s="9"/>
      <c r="C46" s="97"/>
      <c r="D46" s="74"/>
      <c r="E46" s="74"/>
      <c r="F46" s="68"/>
      <c r="G46" s="56"/>
      <c r="H46" s="9"/>
      <c r="I46" s="122"/>
      <c r="J46" s="56"/>
      <c r="K46" s="56"/>
      <c r="L46" s="56"/>
    </row>
    <row r="47" spans="1:12" ht="12.75">
      <c r="A47" s="87" t="s">
        <v>116</v>
      </c>
      <c r="B47" s="96" t="s">
        <v>157</v>
      </c>
      <c r="C47" s="87" t="s">
        <v>149</v>
      </c>
      <c r="D47" s="127">
        <v>2663901</v>
      </c>
      <c r="E47" s="127">
        <v>2654120</v>
      </c>
      <c r="F47" s="56"/>
      <c r="G47" s="118">
        <f>0.14*E47</f>
        <v>371576.80000000005</v>
      </c>
      <c r="H47" s="9"/>
      <c r="I47" s="123" t="str">
        <f>A47</f>
        <v>Brazil</v>
      </c>
      <c r="J47" s="118">
        <f>(G47*600)*(4/5.67)</f>
        <v>157281185.1851852</v>
      </c>
      <c r="K47" s="124">
        <v>0</v>
      </c>
      <c r="L47" s="118">
        <f>(0.035*E47)*580</f>
        <v>53878636.00000001</v>
      </c>
    </row>
    <row r="48" spans="1:12" ht="12.75">
      <c r="A48" s="116" t="s">
        <v>131</v>
      </c>
      <c r="B48" s="117" t="s">
        <v>157</v>
      </c>
      <c r="C48" s="116" t="s">
        <v>149</v>
      </c>
      <c r="D48" s="128">
        <v>480000</v>
      </c>
      <c r="E48" s="128">
        <v>480000</v>
      </c>
      <c r="F48" s="56"/>
      <c r="G48" s="130">
        <f>0.14*E48</f>
        <v>67200</v>
      </c>
      <c r="H48" s="9"/>
      <c r="I48" s="133" t="str">
        <f>A48</f>
        <v>Paraguay</v>
      </c>
      <c r="J48" s="130">
        <f>(G48*600)*(4/5.67)</f>
        <v>28444444.444444444</v>
      </c>
      <c r="K48" s="134">
        <v>0</v>
      </c>
      <c r="L48" s="130">
        <f>(0.035*E48)*580</f>
        <v>9744000</v>
      </c>
    </row>
    <row r="49" spans="1:12" ht="12.75">
      <c r="A49" s="89" t="s">
        <v>132</v>
      </c>
      <c r="B49" s="98" t="s">
        <v>157</v>
      </c>
      <c r="C49" s="89" t="s">
        <v>149</v>
      </c>
      <c r="D49" s="72">
        <v>354376</v>
      </c>
      <c r="E49" s="72">
        <v>359022</v>
      </c>
      <c r="F49" s="56"/>
      <c r="G49" s="119">
        <f>0.14*E49</f>
        <v>50263.08</v>
      </c>
      <c r="H49" s="9"/>
      <c r="I49" s="125" t="str">
        <f>A49</f>
        <v>Peru</v>
      </c>
      <c r="J49" s="119">
        <f>(G49*600)*(4/5.67)</f>
        <v>21275377.777777776</v>
      </c>
      <c r="K49" s="126">
        <v>0</v>
      </c>
      <c r="L49" s="119">
        <f>(0.035*E49)*580</f>
        <v>7288146.600000001</v>
      </c>
    </row>
    <row r="50" spans="6:7" ht="12.75">
      <c r="F50" s="4"/>
      <c r="G50" s="143"/>
    </row>
    <row r="51" spans="6:7" ht="12.75">
      <c r="F51" s="4"/>
      <c r="G51" s="143"/>
    </row>
    <row r="52" spans="6:12" ht="15.75">
      <c r="F52" s="4"/>
      <c r="G52" s="143"/>
      <c r="I52" s="262" t="s">
        <v>84</v>
      </c>
      <c r="J52" s="263"/>
      <c r="K52" s="263"/>
      <c r="L52" s="264"/>
    </row>
    <row r="53" spans="1:12" ht="12.75">
      <c r="A53" s="268" t="s">
        <v>78</v>
      </c>
      <c r="B53" s="268"/>
      <c r="C53" s="268"/>
      <c r="D53" s="268"/>
      <c r="E53" s="268"/>
      <c r="F53" s="138"/>
      <c r="G53" s="215" t="s">
        <v>41</v>
      </c>
      <c r="H53" s="9"/>
      <c r="I53" s="85"/>
      <c r="J53" s="53"/>
      <c r="K53" s="54"/>
      <c r="L53" s="217" t="s">
        <v>86</v>
      </c>
    </row>
    <row r="54" spans="1:12" ht="12.75">
      <c r="A54" s="99" t="s">
        <v>0</v>
      </c>
      <c r="B54" s="115" t="s">
        <v>74</v>
      </c>
      <c r="C54" s="99" t="s">
        <v>75</v>
      </c>
      <c r="D54" s="109">
        <v>2006</v>
      </c>
      <c r="E54" s="99">
        <v>2007</v>
      </c>
      <c r="F54" s="86"/>
      <c r="G54" s="106" t="s">
        <v>225</v>
      </c>
      <c r="H54" s="9"/>
      <c r="I54" s="104" t="s">
        <v>74</v>
      </c>
      <c r="J54" s="105" t="s">
        <v>85</v>
      </c>
      <c r="K54" s="105" t="s">
        <v>10</v>
      </c>
      <c r="L54" s="106" t="s">
        <v>87</v>
      </c>
    </row>
    <row r="55" spans="1:12" ht="12.75">
      <c r="A55" s="87" t="s">
        <v>119</v>
      </c>
      <c r="B55" s="96" t="s">
        <v>1</v>
      </c>
      <c r="C55" s="88" t="s">
        <v>149</v>
      </c>
      <c r="D55" s="127">
        <v>8716499</v>
      </c>
      <c r="E55" s="127">
        <v>8772581</v>
      </c>
      <c r="F55" s="56"/>
      <c r="G55" s="148">
        <f>0.3425*E55</f>
        <v>3004608.9925</v>
      </c>
      <c r="H55" s="9"/>
      <c r="I55" s="123" t="str">
        <f>A55</f>
        <v>China</v>
      </c>
      <c r="J55" s="142">
        <f>(G55*600)*(4/5.67)</f>
        <v>1271792166.137566</v>
      </c>
      <c r="K55" s="142">
        <f>(0.031*E55)*13585</f>
        <v>3694440899.435</v>
      </c>
      <c r="L55" s="118">
        <f>(0.0369*E55)*580</f>
        <v>187750778.562</v>
      </c>
    </row>
    <row r="56" spans="1:12" ht="12.75">
      <c r="A56" s="116" t="s">
        <v>120</v>
      </c>
      <c r="B56" s="117" t="s">
        <v>1</v>
      </c>
      <c r="C56" s="116" t="s">
        <v>149</v>
      </c>
      <c r="D56" s="128">
        <v>4333137</v>
      </c>
      <c r="E56" s="128">
        <v>4616955</v>
      </c>
      <c r="F56" s="56"/>
      <c r="G56" s="130">
        <f>0.3425*E56</f>
        <v>1581307.0875000001</v>
      </c>
      <c r="H56" s="9"/>
      <c r="I56" s="133" t="str">
        <f>A56</f>
        <v>Indonesia</v>
      </c>
      <c r="J56" s="137">
        <f>(G56*600)*(4/5.67)</f>
        <v>669336333.3333334</v>
      </c>
      <c r="K56" s="137">
        <f>(0.031*E56)*13585</f>
        <v>1944361343.9250002</v>
      </c>
      <c r="L56" s="130">
        <f>(0.0369*E56)*580</f>
        <v>98812070.91000001</v>
      </c>
    </row>
    <row r="57" spans="1:12" ht="12.75">
      <c r="A57" s="89" t="s">
        <v>117</v>
      </c>
      <c r="B57" s="98" t="s">
        <v>1</v>
      </c>
      <c r="C57" s="89" t="s">
        <v>149</v>
      </c>
      <c r="D57" s="72">
        <v>4174110</v>
      </c>
      <c r="E57" s="72">
        <v>4337100</v>
      </c>
      <c r="F57" s="56"/>
      <c r="G57" s="119">
        <f>0.3425*E57</f>
        <v>1485456.75</v>
      </c>
      <c r="H57" s="9"/>
      <c r="I57" s="125" t="str">
        <f>A57</f>
        <v>India</v>
      </c>
      <c r="J57" s="140">
        <f>(G57*600)*(4/5.67)</f>
        <v>628764761.9047619</v>
      </c>
      <c r="K57" s="140">
        <f>(0.031*E57)*13585</f>
        <v>1826504608.5</v>
      </c>
      <c r="L57" s="119">
        <f>(0.0369*E57)*580</f>
        <v>92822614.20000002</v>
      </c>
    </row>
    <row r="58" spans="1:12" ht="12.75">
      <c r="A58" s="9"/>
      <c r="B58" s="9"/>
      <c r="C58" s="97"/>
      <c r="D58" s="74"/>
      <c r="E58" s="74"/>
      <c r="F58" s="68"/>
      <c r="G58" s="56"/>
      <c r="H58" s="9"/>
      <c r="I58" s="122"/>
      <c r="J58" s="56"/>
      <c r="K58" s="56"/>
      <c r="L58" s="56"/>
    </row>
    <row r="59" spans="1:12" ht="12.75">
      <c r="A59" s="87" t="s">
        <v>119</v>
      </c>
      <c r="B59" s="96" t="s">
        <v>2</v>
      </c>
      <c r="C59" s="87" t="s">
        <v>149</v>
      </c>
      <c r="D59" s="127">
        <v>5813905</v>
      </c>
      <c r="E59" s="129">
        <v>5851312</v>
      </c>
      <c r="F59" s="56"/>
      <c r="G59" s="118">
        <f>0.3425*E59</f>
        <v>2004074.36</v>
      </c>
      <c r="H59" s="9"/>
      <c r="I59" s="123" t="str">
        <f>A59</f>
        <v>China</v>
      </c>
      <c r="J59" s="142">
        <f>(G59*600)*(4/5.67)</f>
        <v>848285443.3862433</v>
      </c>
      <c r="K59" s="142">
        <f>(0.031*E59)*13585</f>
        <v>2464192279.12</v>
      </c>
      <c r="L59" s="118">
        <f>(0.0369*E59)*580</f>
        <v>125229779.42400001</v>
      </c>
    </row>
    <row r="60" spans="1:12" ht="12.75">
      <c r="A60" s="116" t="s">
        <v>120</v>
      </c>
      <c r="B60" s="117" t="s">
        <v>2</v>
      </c>
      <c r="C60" s="116" t="s">
        <v>149</v>
      </c>
      <c r="D60" s="128">
        <v>2890202</v>
      </c>
      <c r="E60" s="130">
        <v>3079509</v>
      </c>
      <c r="F60" s="56"/>
      <c r="G60" s="130">
        <f>0.3425*E60</f>
        <v>1054731.8325</v>
      </c>
      <c r="H60" s="9"/>
      <c r="I60" s="133" t="str">
        <f>A60</f>
        <v>Indonesia</v>
      </c>
      <c r="J60" s="137">
        <f>(G60*600)*(4/5.67)</f>
        <v>446447336.5079365</v>
      </c>
      <c r="K60" s="137">
        <f>(0.031*E60)*13585</f>
        <v>1296889022.715</v>
      </c>
      <c r="L60" s="130">
        <f>(0.0369*E60)*580</f>
        <v>65907651.618</v>
      </c>
    </row>
    <row r="61" spans="1:12" ht="12.75">
      <c r="A61" s="89" t="s">
        <v>117</v>
      </c>
      <c r="B61" s="98" t="s">
        <v>2</v>
      </c>
      <c r="C61" s="89" t="s">
        <v>149</v>
      </c>
      <c r="D61" s="72">
        <v>2784131</v>
      </c>
      <c r="E61" s="131">
        <v>2892846</v>
      </c>
      <c r="F61" s="56"/>
      <c r="G61" s="119">
        <f>0.3425*E61</f>
        <v>990799.7550000001</v>
      </c>
      <c r="H61" s="9"/>
      <c r="I61" s="125" t="str">
        <f>A61</f>
        <v>India</v>
      </c>
      <c r="J61" s="140">
        <f>(G61*600)*(4/5.67)</f>
        <v>419386139.68253976</v>
      </c>
      <c r="K61" s="140">
        <f>(0.031*E61)*13585</f>
        <v>1218278700.21</v>
      </c>
      <c r="L61" s="119">
        <f>(0.0369*E61)*580</f>
        <v>61912690.09200001</v>
      </c>
    </row>
    <row r="62" spans="1:12" ht="12.75">
      <c r="A62" s="9"/>
      <c r="B62" s="9"/>
      <c r="C62" s="97"/>
      <c r="D62" s="74"/>
      <c r="E62" s="74"/>
      <c r="F62" s="68"/>
      <c r="G62" s="56"/>
      <c r="H62" s="9"/>
      <c r="I62" s="122"/>
      <c r="J62" s="56"/>
      <c r="K62" s="56"/>
      <c r="L62" s="56"/>
    </row>
    <row r="63" spans="1:12" ht="12.75">
      <c r="A63" s="87" t="s">
        <v>117</v>
      </c>
      <c r="B63" s="96" t="s">
        <v>198</v>
      </c>
      <c r="C63" s="87" t="s">
        <v>149</v>
      </c>
      <c r="D63" s="127">
        <v>4959690</v>
      </c>
      <c r="E63" s="127">
        <v>4861952</v>
      </c>
      <c r="F63" s="56"/>
      <c r="G63" s="118">
        <f>0.096*E63</f>
        <v>466747.392</v>
      </c>
      <c r="H63" s="9"/>
      <c r="I63" s="123" t="str">
        <f>A63</f>
        <v>India</v>
      </c>
      <c r="J63" s="142">
        <f>(G63*600)*(4/5.67)</f>
        <v>197565033.65079364</v>
      </c>
      <c r="K63" s="142">
        <f>(0.096*E63)*13585</f>
        <v>6340763320.32</v>
      </c>
      <c r="L63" s="118">
        <f>(0.0225*E63)*580</f>
        <v>63448473.6</v>
      </c>
    </row>
    <row r="64" spans="1:12" ht="12.75">
      <c r="A64" s="116" t="s">
        <v>119</v>
      </c>
      <c r="B64" s="117" t="s">
        <v>198</v>
      </c>
      <c r="C64" s="116" t="s">
        <v>149</v>
      </c>
      <c r="D64" s="128">
        <v>2786013</v>
      </c>
      <c r="E64" s="128">
        <v>3248877</v>
      </c>
      <c r="F64" s="56"/>
      <c r="G64" s="130">
        <f>0.096*E64</f>
        <v>311892.192</v>
      </c>
      <c r="H64" s="9"/>
      <c r="I64" s="133" t="str">
        <f>A64</f>
        <v>China</v>
      </c>
      <c r="J64" s="137">
        <f>(G64*600)*(4/5.67)</f>
        <v>132017859.04761903</v>
      </c>
      <c r="K64" s="137">
        <f>(0.096*E64)*13585</f>
        <v>4237055428.3199997</v>
      </c>
      <c r="L64" s="130">
        <f>(0.0225*E64)*580</f>
        <v>42397844.85</v>
      </c>
    </row>
    <row r="65" spans="1:12" ht="12.75">
      <c r="A65" s="212" t="s">
        <v>224</v>
      </c>
      <c r="B65" s="98" t="s">
        <v>198</v>
      </c>
      <c r="C65" s="89" t="s">
        <v>149</v>
      </c>
      <c r="D65" s="72">
        <v>1659000</v>
      </c>
      <c r="E65" s="72">
        <v>1825700</v>
      </c>
      <c r="F65" s="56"/>
      <c r="G65" s="119">
        <f>0.096*E65</f>
        <v>175267.2</v>
      </c>
      <c r="H65" s="9"/>
      <c r="I65" s="125" t="str">
        <f>A65</f>
        <v>Russia Federation</v>
      </c>
      <c r="J65" s="140">
        <f>(G65*600)*(4/5.67)</f>
        <v>74187174.6031746</v>
      </c>
      <c r="K65" s="140">
        <f>(0.096*E65)*13585</f>
        <v>2381004912</v>
      </c>
      <c r="L65" s="119">
        <f>(0.0225*E65)*580</f>
        <v>23825385</v>
      </c>
    </row>
    <row r="66" spans="6:7" ht="12.75">
      <c r="F66" s="4"/>
      <c r="G66" s="143"/>
    </row>
    <row r="67" spans="6:7" ht="12.75">
      <c r="F67" s="4"/>
      <c r="G67" s="143"/>
    </row>
    <row r="68" spans="6:12" ht="15.75">
      <c r="F68" s="4"/>
      <c r="G68" s="143"/>
      <c r="I68" s="262" t="s">
        <v>84</v>
      </c>
      <c r="J68" s="263"/>
      <c r="K68" s="263"/>
      <c r="L68" s="264"/>
    </row>
    <row r="69" spans="1:12" ht="12.75">
      <c r="A69" s="268" t="s">
        <v>103</v>
      </c>
      <c r="B69" s="268"/>
      <c r="C69" s="268"/>
      <c r="D69" s="268"/>
      <c r="E69" s="268"/>
      <c r="F69" s="138"/>
      <c r="G69" s="215" t="s">
        <v>41</v>
      </c>
      <c r="H69" s="9"/>
      <c r="I69" s="85"/>
      <c r="J69" s="53"/>
      <c r="K69" s="54"/>
      <c r="L69" s="217" t="s">
        <v>86</v>
      </c>
    </row>
    <row r="70" spans="1:12" ht="12.75">
      <c r="A70" s="99" t="s">
        <v>0</v>
      </c>
      <c r="B70" s="115" t="s">
        <v>74</v>
      </c>
      <c r="C70" s="99" t="s">
        <v>75</v>
      </c>
      <c r="D70" s="109">
        <v>2006</v>
      </c>
      <c r="E70" s="99">
        <v>2007</v>
      </c>
      <c r="F70" s="86"/>
      <c r="G70" s="106" t="s">
        <v>225</v>
      </c>
      <c r="H70" s="9"/>
      <c r="I70" s="104" t="s">
        <v>74</v>
      </c>
      <c r="J70" s="105" t="s">
        <v>85</v>
      </c>
      <c r="K70" s="105" t="s">
        <v>10</v>
      </c>
      <c r="L70" s="106" t="s">
        <v>87</v>
      </c>
    </row>
    <row r="71" spans="1:12" ht="12.75">
      <c r="A71" s="87" t="s">
        <v>3</v>
      </c>
      <c r="B71" s="96" t="s">
        <v>157</v>
      </c>
      <c r="C71" s="88" t="s">
        <v>149</v>
      </c>
      <c r="D71" s="127">
        <v>5245115</v>
      </c>
      <c r="E71" s="127">
        <v>4979995</v>
      </c>
      <c r="F71" s="56"/>
      <c r="G71" s="148">
        <f>0.14*E71</f>
        <v>697199.3</v>
      </c>
      <c r="H71" s="9"/>
      <c r="I71" s="123" t="str">
        <f>A71</f>
        <v>Nigeria</v>
      </c>
      <c r="J71" s="118">
        <f>(G71*600)*(4/5.67)</f>
        <v>295110814.8148148</v>
      </c>
      <c r="K71" s="124">
        <v>0</v>
      </c>
      <c r="L71" s="118">
        <f>(0.035*E71)*580</f>
        <v>101093898.5</v>
      </c>
    </row>
    <row r="72" spans="1:12" ht="12.75">
      <c r="A72" s="116" t="s">
        <v>4</v>
      </c>
      <c r="B72" s="117" t="s">
        <v>157</v>
      </c>
      <c r="C72" s="116" t="s">
        <v>149</v>
      </c>
      <c r="D72" s="128">
        <v>2892856</v>
      </c>
      <c r="E72" s="128">
        <v>2896412</v>
      </c>
      <c r="F72" s="56"/>
      <c r="G72" s="130">
        <f>0.14*E72</f>
        <v>405497.68000000005</v>
      </c>
      <c r="H72" s="9"/>
      <c r="I72" s="133" t="str">
        <f>A72</f>
        <v>Ghana</v>
      </c>
      <c r="J72" s="130">
        <f>(G72*600)*(4/5.67)</f>
        <v>171639229.62962964</v>
      </c>
      <c r="K72" s="134">
        <v>0</v>
      </c>
      <c r="L72" s="148">
        <f>(0.035*E72)*580</f>
        <v>58797163.60000001</v>
      </c>
    </row>
    <row r="73" spans="1:12" ht="12.75">
      <c r="A73" s="89" t="s">
        <v>5</v>
      </c>
      <c r="B73" s="98" t="s">
        <v>157</v>
      </c>
      <c r="C73" s="89" t="s">
        <v>149</v>
      </c>
      <c r="D73" s="72">
        <v>1100000</v>
      </c>
      <c r="E73" s="72">
        <v>1120000</v>
      </c>
      <c r="F73" s="56"/>
      <c r="G73" s="119">
        <f>0.14*E73</f>
        <v>156800.00000000003</v>
      </c>
      <c r="H73" s="9"/>
      <c r="I73" s="125" t="str">
        <f>A73</f>
        <v>Angola</v>
      </c>
      <c r="J73" s="119">
        <f>(G73*600)*(4/5.67)</f>
        <v>66370370.37037038</v>
      </c>
      <c r="K73" s="126">
        <v>0</v>
      </c>
      <c r="L73" s="119">
        <f>(0.035*E73)*580</f>
        <v>22736000.000000004</v>
      </c>
    </row>
    <row r="74" spans="1:12" ht="12.75">
      <c r="A74" s="9"/>
      <c r="B74" s="9"/>
      <c r="C74" s="97"/>
      <c r="D74" s="74"/>
      <c r="E74" s="74"/>
      <c r="F74" s="68"/>
      <c r="G74" s="56"/>
      <c r="H74" s="9"/>
      <c r="I74" s="122"/>
      <c r="J74" s="56"/>
      <c r="K74" s="56"/>
      <c r="L74" s="56"/>
    </row>
    <row r="75" spans="1:12" ht="12.75">
      <c r="A75" s="87" t="s">
        <v>3</v>
      </c>
      <c r="B75" s="96" t="s">
        <v>55</v>
      </c>
      <c r="C75" s="87" t="s">
        <v>149</v>
      </c>
      <c r="D75" s="136">
        <v>3672000</v>
      </c>
      <c r="E75" s="145">
        <v>3113600</v>
      </c>
      <c r="F75" s="139"/>
      <c r="G75" s="144">
        <f>((6.93*20/100)/100)*E75</f>
        <v>43154.496</v>
      </c>
      <c r="H75" s="9"/>
      <c r="I75" s="123" t="str">
        <f>A75</f>
        <v>Nigeria</v>
      </c>
      <c r="J75" s="142">
        <f>(G75*600)*(4/5.67)</f>
        <v>18266453.333333332</v>
      </c>
      <c r="K75" s="142">
        <f>(0.0247*E75)*13585</f>
        <v>1044766923.1999999</v>
      </c>
      <c r="L75" s="118">
        <f>(0.018*E75)*580</f>
        <v>32505983.999999996</v>
      </c>
    </row>
    <row r="76" spans="1:12" ht="12.75">
      <c r="A76" s="135" t="s">
        <v>6</v>
      </c>
      <c r="B76" s="117" t="s">
        <v>55</v>
      </c>
      <c r="C76" s="116" t="s">
        <v>149</v>
      </c>
      <c r="D76" s="128">
        <v>556900</v>
      </c>
      <c r="E76" s="130">
        <v>584221</v>
      </c>
      <c r="F76" s="56"/>
      <c r="G76" s="147">
        <f>((6.93*20/100)/100)*E76</f>
        <v>8097.303059999999</v>
      </c>
      <c r="H76" s="9"/>
      <c r="I76" s="133" t="str">
        <f>A76</f>
        <v>Côte d'Ivoire</v>
      </c>
      <c r="J76" s="137">
        <f>(G76*600)*(4/5.67)</f>
        <v>3427429.8666666658</v>
      </c>
      <c r="K76" s="137">
        <f>(0.0247*E76)*13585</f>
        <v>196035064.4395</v>
      </c>
      <c r="L76" s="130">
        <f>(0.018*E76)*580</f>
        <v>6099267.239999999</v>
      </c>
    </row>
    <row r="77" spans="1:12" ht="12.75">
      <c r="A77" s="89" t="s">
        <v>4</v>
      </c>
      <c r="B77" s="98" t="s">
        <v>55</v>
      </c>
      <c r="C77" s="89" t="s">
        <v>149</v>
      </c>
      <c r="D77" s="72">
        <v>550000</v>
      </c>
      <c r="E77" s="131">
        <v>550000</v>
      </c>
      <c r="F77" s="56"/>
      <c r="G77" s="146">
        <f>((6.93*20/100)/100)*E77</f>
        <v>7622.999999999999</v>
      </c>
      <c r="H77" s="9"/>
      <c r="I77" s="125" t="str">
        <f>A77</f>
        <v>Ghana</v>
      </c>
      <c r="J77" s="140">
        <f>(G77*600)*(4/5.67)</f>
        <v>3226666.666666666</v>
      </c>
      <c r="K77" s="140">
        <f>(0.0247*E77)*13585</f>
        <v>184552225</v>
      </c>
      <c r="L77" s="119">
        <f>(0.018*E77)*580</f>
        <v>5742000</v>
      </c>
    </row>
    <row r="78" spans="1:12" ht="12.75">
      <c r="A78" s="9"/>
      <c r="B78" s="9"/>
      <c r="C78" s="97"/>
      <c r="D78" s="74"/>
      <c r="E78" s="74"/>
      <c r="F78" s="68"/>
      <c r="G78" s="56"/>
      <c r="H78" s="9"/>
      <c r="I78" s="122"/>
      <c r="J78" s="56"/>
      <c r="K78" s="56"/>
      <c r="L78" s="56"/>
    </row>
    <row r="79" spans="1:12" ht="12.75">
      <c r="A79" s="87" t="s">
        <v>7</v>
      </c>
      <c r="B79" s="96" t="s">
        <v>179</v>
      </c>
      <c r="C79" s="87" t="s">
        <v>149</v>
      </c>
      <c r="D79" s="127">
        <v>887420</v>
      </c>
      <c r="E79" s="127">
        <v>932612</v>
      </c>
      <c r="F79" s="56"/>
      <c r="G79" s="118">
        <f>0.7177*E79</f>
        <v>669335.6324</v>
      </c>
      <c r="H79" s="9"/>
      <c r="I79" s="123" t="str">
        <f>A79</f>
        <v>Egypt</v>
      </c>
      <c r="J79" s="142">
        <f>(G79*600)*(4/5.67)</f>
        <v>283316669.7989418</v>
      </c>
      <c r="K79" s="142">
        <f>(0.035*E79)*13585</f>
        <v>443433690.70000005</v>
      </c>
      <c r="L79" s="118">
        <f>(0.0945*E79)*580</f>
        <v>51116463.72</v>
      </c>
    </row>
    <row r="80" spans="1:12" ht="12.75">
      <c r="A80" s="116" t="s">
        <v>3</v>
      </c>
      <c r="B80" s="117" t="s">
        <v>179</v>
      </c>
      <c r="C80" s="116" t="s">
        <v>149</v>
      </c>
      <c r="D80" s="128">
        <v>779273</v>
      </c>
      <c r="E80" s="128">
        <v>750987</v>
      </c>
      <c r="F80" s="56"/>
      <c r="G80" s="130">
        <f>0.7177*E80</f>
        <v>538983.3699</v>
      </c>
      <c r="H80" s="9"/>
      <c r="I80" s="133" t="str">
        <f>A80</f>
        <v>Nigeria</v>
      </c>
      <c r="J80" s="137">
        <f>(G80*600)*(4/5.67)</f>
        <v>228141108.95238099</v>
      </c>
      <c r="K80" s="137">
        <f>(0.035*E80)*13585</f>
        <v>357075543.82500005</v>
      </c>
      <c r="L80" s="130">
        <f>(0.0945*E80)*580</f>
        <v>41161597.47</v>
      </c>
    </row>
    <row r="81" spans="1:12" ht="12.75">
      <c r="A81" s="89" t="s">
        <v>8</v>
      </c>
      <c r="B81" s="98" t="s">
        <v>179</v>
      </c>
      <c r="C81" s="89" t="s">
        <v>149</v>
      </c>
      <c r="D81" s="72">
        <v>423900</v>
      </c>
      <c r="E81" s="72">
        <v>424499</v>
      </c>
      <c r="F81" s="56"/>
      <c r="G81" s="119">
        <f>0.7177*E81</f>
        <v>304662.9323</v>
      </c>
      <c r="H81" s="9"/>
      <c r="I81" s="125" t="str">
        <f>A81</f>
        <v>Tanzania</v>
      </c>
      <c r="J81" s="140">
        <f>(G81*600)*(4/5.67)</f>
        <v>128957854.94179893</v>
      </c>
      <c r="K81" s="140">
        <f>(0.035*E81)*13585</f>
        <v>201838662.02500004</v>
      </c>
      <c r="L81" s="119">
        <f>(0.0945*E81)*580</f>
        <v>23266790.19</v>
      </c>
    </row>
    <row r="84" spans="1:5" ht="15.75">
      <c r="A84" s="220" t="s">
        <v>35</v>
      </c>
      <c r="B84" s="224" t="s">
        <v>45</v>
      </c>
      <c r="C84" s="221"/>
      <c r="D84" s="221"/>
      <c r="E84" s="221"/>
    </row>
    <row r="85" ht="12.75">
      <c r="B85" s="9" t="s">
        <v>240</v>
      </c>
    </row>
  </sheetData>
  <mergeCells count="11">
    <mergeCell ref="A53:E53"/>
    <mergeCell ref="I68:L68"/>
    <mergeCell ref="A69:E69"/>
    <mergeCell ref="A1:L2"/>
    <mergeCell ref="I52:L52"/>
    <mergeCell ref="A5:E5"/>
    <mergeCell ref="I4:L4"/>
    <mergeCell ref="I20:L20"/>
    <mergeCell ref="A21:E21"/>
    <mergeCell ref="I36:L36"/>
    <mergeCell ref="A37:E37"/>
  </mergeCells>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0"/>
  <sheetViews>
    <sheetView workbookViewId="0" topLeftCell="A1"/>
  </sheetViews>
  <sheetFormatPr defaultColWidth="11.00390625" defaultRowHeight="12.75"/>
  <cols>
    <col min="1" max="1" width="16.75390625" style="0" customWidth="1"/>
    <col min="2" max="2" width="21.00390625" style="0" customWidth="1"/>
    <col min="3" max="3" width="9.625" style="0" customWidth="1"/>
    <col min="4" max="4" width="8.375" style="0" customWidth="1"/>
    <col min="5" max="5" width="7.625" style="0" customWidth="1"/>
    <col min="6" max="6" width="7.75390625" style="0" customWidth="1"/>
    <col min="7" max="7" width="8.00390625" style="0" customWidth="1"/>
    <col min="8" max="8" width="9.875" style="0" customWidth="1"/>
    <col min="9" max="9" width="6.875" style="0" customWidth="1"/>
    <col min="10" max="10" width="15.375" style="0" customWidth="1"/>
    <col min="11" max="11" width="14.25390625" style="0" customWidth="1"/>
    <col min="12" max="12" width="12.875" style="0" customWidth="1"/>
  </cols>
  <sheetData>
    <row r="2" spans="1:12" ht="15.75">
      <c r="A2" s="272" t="s">
        <v>81</v>
      </c>
      <c r="B2" s="263"/>
      <c r="C2" s="263"/>
      <c r="D2" s="263"/>
      <c r="E2" s="263"/>
      <c r="F2" s="263"/>
      <c r="G2" s="263"/>
      <c r="H2" s="264"/>
      <c r="I2" s="22"/>
      <c r="J2" s="272" t="s">
        <v>76</v>
      </c>
      <c r="K2" s="263"/>
      <c r="L2" s="264"/>
    </row>
    <row r="3" spans="1:12" ht="12.75">
      <c r="A3" s="10" t="s">
        <v>73</v>
      </c>
      <c r="B3" s="10" t="s">
        <v>74</v>
      </c>
      <c r="C3" s="10" t="s">
        <v>75</v>
      </c>
      <c r="D3" s="10">
        <v>2003</v>
      </c>
      <c r="E3" s="10">
        <v>2004</v>
      </c>
      <c r="F3" s="10">
        <v>2005</v>
      </c>
      <c r="G3" s="10">
        <v>2006</v>
      </c>
      <c r="H3" s="23">
        <v>2007</v>
      </c>
      <c r="I3" s="24"/>
      <c r="J3" s="25" t="s">
        <v>63</v>
      </c>
      <c r="K3" s="26" t="s">
        <v>64</v>
      </c>
      <c r="L3" s="26" t="s">
        <v>65</v>
      </c>
    </row>
    <row r="4" spans="1:12" ht="25.5">
      <c r="A4" s="19" t="s">
        <v>89</v>
      </c>
      <c r="B4" s="19" t="s">
        <v>198</v>
      </c>
      <c r="C4" s="19" t="s">
        <v>149</v>
      </c>
      <c r="D4" s="20">
        <v>2042719</v>
      </c>
      <c r="E4" s="20">
        <v>2131879</v>
      </c>
      <c r="F4" s="20">
        <v>1714292</v>
      </c>
      <c r="G4" s="20">
        <v>1776881</v>
      </c>
      <c r="H4" s="28">
        <v>1733514</v>
      </c>
      <c r="I4" s="9"/>
      <c r="J4" s="47"/>
      <c r="K4" s="47"/>
      <c r="L4" s="47">
        <f>0.096*H4</f>
        <v>166417.344</v>
      </c>
    </row>
    <row r="5" spans="1:12" ht="25.5">
      <c r="A5" s="19" t="s">
        <v>89</v>
      </c>
      <c r="B5" s="19" t="s">
        <v>212</v>
      </c>
      <c r="C5" s="19" t="s">
        <v>149</v>
      </c>
      <c r="D5" s="20">
        <v>797759</v>
      </c>
      <c r="E5" s="20">
        <v>788037</v>
      </c>
      <c r="F5" s="20">
        <v>898930</v>
      </c>
      <c r="G5" s="20">
        <v>900939</v>
      </c>
      <c r="H5" s="28">
        <v>886829</v>
      </c>
      <c r="I5" s="9"/>
      <c r="J5" s="47"/>
      <c r="K5" s="47"/>
      <c r="L5" s="47">
        <f>0.44*H5</f>
        <v>390204.76</v>
      </c>
    </row>
    <row r="6" spans="1:12" ht="25.5">
      <c r="A6" s="19" t="s">
        <v>89</v>
      </c>
      <c r="B6" s="19" t="s">
        <v>51</v>
      </c>
      <c r="C6" s="19" t="s">
        <v>149</v>
      </c>
      <c r="D6" s="20">
        <v>614523</v>
      </c>
      <c r="E6" s="20">
        <v>730843</v>
      </c>
      <c r="F6" s="20">
        <v>637919</v>
      </c>
      <c r="G6" s="20">
        <v>706475</v>
      </c>
      <c r="H6" s="28">
        <v>810369</v>
      </c>
      <c r="I6" s="9"/>
      <c r="J6" s="47">
        <f>0.7873*H6</f>
        <v>638003.5137</v>
      </c>
      <c r="K6" s="47">
        <f>0.7152*H6</f>
        <v>579575.9088</v>
      </c>
      <c r="L6" s="47">
        <f>0.197*H6</f>
        <v>159642.693</v>
      </c>
    </row>
    <row r="7" spans="1:12" ht="25.5">
      <c r="A7" s="19" t="s">
        <v>89</v>
      </c>
      <c r="B7" s="19" t="s">
        <v>203</v>
      </c>
      <c r="C7" s="19" t="s">
        <v>149</v>
      </c>
      <c r="D7" s="20">
        <v>763157</v>
      </c>
      <c r="E7" s="20">
        <v>1934161</v>
      </c>
      <c r="F7" s="20">
        <v>1003691</v>
      </c>
      <c r="G7" s="20">
        <v>345085</v>
      </c>
      <c r="H7" s="28">
        <v>575050</v>
      </c>
      <c r="I7" s="9"/>
      <c r="J7" s="47"/>
      <c r="K7" s="47"/>
      <c r="L7" s="47">
        <f>0.3425*H7</f>
        <v>196954.62500000003</v>
      </c>
    </row>
    <row r="8" spans="1:12" ht="25.5">
      <c r="A8" s="19" t="s">
        <v>89</v>
      </c>
      <c r="B8" s="19" t="s">
        <v>171</v>
      </c>
      <c r="C8" s="19" t="s">
        <v>149</v>
      </c>
      <c r="D8" s="20">
        <v>228219</v>
      </c>
      <c r="E8" s="20">
        <v>177467</v>
      </c>
      <c r="F8" s="20">
        <v>192095</v>
      </c>
      <c r="G8" s="20">
        <v>102707</v>
      </c>
      <c r="H8" s="28">
        <v>568656</v>
      </c>
      <c r="I8" s="9"/>
      <c r="J8" s="47"/>
      <c r="K8" s="47"/>
      <c r="L8" s="47">
        <f>0.275825*H8</f>
        <v>156849.5412</v>
      </c>
    </row>
    <row r="9" spans="1:12" ht="25.5">
      <c r="A9" s="19" t="s">
        <v>89</v>
      </c>
      <c r="B9" s="19" t="s">
        <v>179</v>
      </c>
      <c r="C9" s="19" t="s">
        <v>149</v>
      </c>
      <c r="D9" s="20">
        <v>399829</v>
      </c>
      <c r="E9" s="20">
        <v>326762</v>
      </c>
      <c r="F9" s="20">
        <v>344592</v>
      </c>
      <c r="G9" s="20">
        <v>326663</v>
      </c>
      <c r="H9" s="28">
        <v>426835</v>
      </c>
      <c r="I9" s="9"/>
      <c r="J9" s="47">
        <f>0.1355*H9</f>
        <v>57836.1425</v>
      </c>
      <c r="K9" s="47">
        <f>0.1235*H9</f>
        <v>52714.1225</v>
      </c>
      <c r="L9" s="47">
        <f>0.7177*H9</f>
        <v>306339.4795</v>
      </c>
    </row>
    <row r="10" spans="1:12" ht="25.5">
      <c r="A10" s="19" t="s">
        <v>89</v>
      </c>
      <c r="B10" s="43" t="s">
        <v>202</v>
      </c>
      <c r="C10" s="43" t="s">
        <v>149</v>
      </c>
      <c r="D10" s="44">
        <v>509026</v>
      </c>
      <c r="E10" s="44">
        <v>1290085</v>
      </c>
      <c r="F10" s="44">
        <v>669462</v>
      </c>
      <c r="G10" s="44">
        <v>230172</v>
      </c>
      <c r="H10" s="45">
        <v>383558</v>
      </c>
      <c r="I10" s="46"/>
      <c r="J10" s="48"/>
      <c r="K10" s="48"/>
      <c r="L10" s="48">
        <f>0.3425*H10</f>
        <v>131368.61500000002</v>
      </c>
    </row>
    <row r="11" spans="1:12" ht="25.5">
      <c r="A11" s="19" t="s">
        <v>89</v>
      </c>
      <c r="B11" s="19" t="s">
        <v>201</v>
      </c>
      <c r="C11" s="19" t="s">
        <v>149</v>
      </c>
      <c r="D11" s="20">
        <v>224851</v>
      </c>
      <c r="E11" s="20">
        <v>249219</v>
      </c>
      <c r="F11" s="20">
        <v>303209</v>
      </c>
      <c r="G11" s="20">
        <v>310155</v>
      </c>
      <c r="H11" s="28">
        <v>313560</v>
      </c>
      <c r="I11" s="9"/>
      <c r="J11" s="47"/>
      <c r="K11" s="47"/>
      <c r="L11" s="47"/>
    </row>
    <row r="12" spans="1:12" ht="25.5">
      <c r="A12" s="19" t="s">
        <v>89</v>
      </c>
      <c r="B12" s="19" t="s">
        <v>150</v>
      </c>
      <c r="C12" s="19" t="s">
        <v>149</v>
      </c>
      <c r="D12" s="20">
        <v>220789</v>
      </c>
      <c r="E12" s="20">
        <v>260528</v>
      </c>
      <c r="F12" s="20">
        <v>241562</v>
      </c>
      <c r="G12" s="20">
        <v>249924</v>
      </c>
      <c r="H12" s="28">
        <v>236176</v>
      </c>
      <c r="I12" s="9"/>
      <c r="J12" s="47">
        <f>0.7623*H12</f>
        <v>180036.9648</v>
      </c>
      <c r="K12" s="47">
        <f>0.6733*H12</f>
        <v>159017.3008</v>
      </c>
      <c r="L12" s="47">
        <f>0.436*H12</f>
        <v>102972.736</v>
      </c>
    </row>
    <row r="13" spans="1:12" ht="25.5">
      <c r="A13" s="19" t="s">
        <v>89</v>
      </c>
      <c r="B13" s="19" t="s">
        <v>188</v>
      </c>
      <c r="C13" s="19" t="s">
        <v>149</v>
      </c>
      <c r="D13" s="20">
        <v>196282</v>
      </c>
      <c r="E13" s="20">
        <v>218929</v>
      </c>
      <c r="F13" s="20">
        <v>198854</v>
      </c>
      <c r="G13" s="20">
        <v>195112</v>
      </c>
      <c r="H13" s="28">
        <v>218833</v>
      </c>
      <c r="I13" s="9"/>
      <c r="J13" s="47">
        <f>0.3469*H13</f>
        <v>75913.16769999999</v>
      </c>
      <c r="K13" s="47">
        <f>0.295*H13</f>
        <v>64555.73499999999</v>
      </c>
      <c r="L13" s="47"/>
    </row>
    <row r="14" spans="1:12" ht="25.5">
      <c r="A14" s="19" t="s">
        <v>89</v>
      </c>
      <c r="B14" s="19" t="s">
        <v>151</v>
      </c>
      <c r="C14" s="19" t="s">
        <v>149</v>
      </c>
      <c r="D14" s="20">
        <v>202501</v>
      </c>
      <c r="E14" s="20">
        <v>203297</v>
      </c>
      <c r="F14" s="20">
        <v>200686</v>
      </c>
      <c r="G14" s="20">
        <v>201520</v>
      </c>
      <c r="H14" s="28">
        <v>210064</v>
      </c>
      <c r="I14" s="9"/>
      <c r="J14" s="47">
        <f>0.5025*H14</f>
        <v>105557.15999999999</v>
      </c>
      <c r="K14" s="47"/>
      <c r="L14" s="47">
        <f>0.095*H14</f>
        <v>19956.08</v>
      </c>
    </row>
    <row r="15" spans="1:12" ht="25.5">
      <c r="A15" s="19" t="s">
        <v>89</v>
      </c>
      <c r="B15" s="19" t="s">
        <v>189</v>
      </c>
      <c r="C15" s="19" t="s">
        <v>149</v>
      </c>
      <c r="D15" s="20">
        <v>245077</v>
      </c>
      <c r="E15" s="20">
        <v>269699</v>
      </c>
      <c r="F15" s="20">
        <v>205460</v>
      </c>
      <c r="G15" s="20">
        <v>205339</v>
      </c>
      <c r="H15" s="28">
        <v>187496</v>
      </c>
      <c r="I15" s="9"/>
      <c r="J15" s="47">
        <f>0.643*H15</f>
        <v>120559.928</v>
      </c>
      <c r="K15" s="47">
        <f>0.54*H15</f>
        <v>101247.84000000001</v>
      </c>
      <c r="L15" s="47">
        <f>18.8*H15</f>
        <v>3524924.8000000003</v>
      </c>
    </row>
    <row r="16" spans="1:12" ht="25.5">
      <c r="A16" s="19" t="s">
        <v>89</v>
      </c>
      <c r="B16" s="19" t="s">
        <v>183</v>
      </c>
      <c r="C16" s="19" t="s">
        <v>149</v>
      </c>
      <c r="D16" s="20">
        <v>120408</v>
      </c>
      <c r="E16" s="20">
        <v>127115</v>
      </c>
      <c r="F16" s="20">
        <v>123720</v>
      </c>
      <c r="G16" s="20">
        <v>106829</v>
      </c>
      <c r="H16" s="28">
        <v>140134</v>
      </c>
      <c r="I16" s="9"/>
      <c r="J16" s="47"/>
      <c r="K16" s="47"/>
      <c r="L16" s="47"/>
    </row>
    <row r="17" spans="1:12" ht="25.5">
      <c r="A17" s="19" t="s">
        <v>89</v>
      </c>
      <c r="B17" s="19" t="s">
        <v>170</v>
      </c>
      <c r="C17" s="19" t="s">
        <v>149</v>
      </c>
      <c r="D17" s="20">
        <v>96132</v>
      </c>
      <c r="E17" s="20">
        <v>100410</v>
      </c>
      <c r="F17" s="20">
        <v>48272</v>
      </c>
      <c r="G17" s="20">
        <v>58260</v>
      </c>
      <c r="H17" s="28">
        <v>81630</v>
      </c>
      <c r="I17" s="9"/>
      <c r="J17" s="47"/>
      <c r="K17" s="47"/>
      <c r="L17" s="47"/>
    </row>
    <row r="18" spans="1:12" ht="25.5">
      <c r="A18" s="19" t="s">
        <v>89</v>
      </c>
      <c r="B18" s="19" t="s">
        <v>178</v>
      </c>
      <c r="C18" s="19" t="s">
        <v>149</v>
      </c>
      <c r="D18" s="20">
        <v>62501</v>
      </c>
      <c r="E18" s="20">
        <v>54510</v>
      </c>
      <c r="F18" s="20">
        <v>58956</v>
      </c>
      <c r="G18" s="20">
        <v>62694</v>
      </c>
      <c r="H18" s="28">
        <v>60177</v>
      </c>
      <c r="I18" s="9"/>
      <c r="J18" s="47"/>
      <c r="K18" s="47"/>
      <c r="L18" s="47"/>
    </row>
    <row r="19" spans="1:12" ht="25.5">
      <c r="A19" s="19" t="s">
        <v>89</v>
      </c>
      <c r="B19" s="19" t="s">
        <v>193</v>
      </c>
      <c r="C19" s="19" t="s">
        <v>149</v>
      </c>
      <c r="D19" s="20">
        <v>42490</v>
      </c>
      <c r="E19" s="20">
        <v>66760</v>
      </c>
      <c r="F19" s="20">
        <v>59870</v>
      </c>
      <c r="G19" s="20">
        <v>50400</v>
      </c>
      <c r="H19" s="28">
        <v>58700</v>
      </c>
      <c r="I19" s="9"/>
      <c r="J19" s="47"/>
      <c r="K19" s="47"/>
      <c r="L19" s="47"/>
    </row>
    <row r="20" spans="1:12" ht="25.5">
      <c r="A20" s="19" t="s">
        <v>89</v>
      </c>
      <c r="B20" s="19" t="s">
        <v>196</v>
      </c>
      <c r="C20" s="19" t="s">
        <v>149</v>
      </c>
      <c r="D20" s="20">
        <v>40425</v>
      </c>
      <c r="E20" s="20">
        <v>39207</v>
      </c>
      <c r="F20" s="20">
        <v>42686</v>
      </c>
      <c r="G20" s="20">
        <v>45430</v>
      </c>
      <c r="H20" s="28">
        <v>48566</v>
      </c>
      <c r="I20" s="9"/>
      <c r="J20" s="47"/>
      <c r="K20" s="47"/>
      <c r="L20" s="47"/>
    </row>
    <row r="21" spans="1:12" ht="25.5">
      <c r="A21" s="19" t="s">
        <v>89</v>
      </c>
      <c r="B21" s="19" t="s">
        <v>215</v>
      </c>
      <c r="C21" s="19" t="s">
        <v>149</v>
      </c>
      <c r="D21" s="20">
        <v>43869</v>
      </c>
      <c r="E21" s="20">
        <v>43869</v>
      </c>
      <c r="F21" s="20">
        <v>43869</v>
      </c>
      <c r="G21" s="20">
        <v>43869</v>
      </c>
      <c r="H21" s="28">
        <v>43869</v>
      </c>
      <c r="I21" s="9"/>
      <c r="J21" s="47"/>
      <c r="K21" s="47"/>
      <c r="L21" s="47"/>
    </row>
    <row r="22" spans="1:12" ht="25.5">
      <c r="A22" s="19" t="s">
        <v>89</v>
      </c>
      <c r="B22" s="19" t="s">
        <v>222</v>
      </c>
      <c r="C22" s="19" t="s">
        <v>149</v>
      </c>
      <c r="D22" s="20">
        <v>40360</v>
      </c>
      <c r="E22" s="20">
        <v>40360</v>
      </c>
      <c r="F22" s="20">
        <v>40360</v>
      </c>
      <c r="G22" s="20">
        <v>40360</v>
      </c>
      <c r="H22" s="28">
        <v>40360</v>
      </c>
      <c r="I22" s="9"/>
      <c r="J22" s="47"/>
      <c r="K22" s="47"/>
      <c r="L22" s="47"/>
    </row>
    <row r="23" spans="1:12" ht="25.5">
      <c r="A23" s="19" t="s">
        <v>89</v>
      </c>
      <c r="B23" s="19" t="s">
        <v>213</v>
      </c>
      <c r="C23" s="19" t="s">
        <v>149</v>
      </c>
      <c r="D23" s="20">
        <v>1391816</v>
      </c>
      <c r="E23" s="20">
        <v>4264224</v>
      </c>
      <c r="F23" s="20">
        <v>3111912</v>
      </c>
      <c r="G23" s="20">
        <v>1940808</v>
      </c>
      <c r="H23" s="28">
        <v>31920</v>
      </c>
      <c r="I23" s="9"/>
      <c r="J23" s="47"/>
      <c r="K23" s="47"/>
      <c r="L23" s="47"/>
    </row>
    <row r="24" spans="1:12" ht="25.5">
      <c r="A24" s="19" t="s">
        <v>89</v>
      </c>
      <c r="B24" s="19" t="s">
        <v>167</v>
      </c>
      <c r="C24" s="19" t="s">
        <v>149</v>
      </c>
      <c r="D24" s="20">
        <v>22967</v>
      </c>
      <c r="E24" s="20">
        <v>23370</v>
      </c>
      <c r="F24" s="20">
        <v>23114</v>
      </c>
      <c r="G24" s="20">
        <v>20959</v>
      </c>
      <c r="H24" s="28">
        <v>23229</v>
      </c>
      <c r="I24" s="9"/>
      <c r="J24" s="47"/>
      <c r="K24" s="47"/>
      <c r="L24" s="47"/>
    </row>
    <row r="25" spans="1:12" ht="25.5">
      <c r="A25" s="19" t="s">
        <v>89</v>
      </c>
      <c r="B25" s="19" t="s">
        <v>199</v>
      </c>
      <c r="C25" s="19" t="s">
        <v>149</v>
      </c>
      <c r="D25" s="20">
        <v>11466</v>
      </c>
      <c r="E25" s="20">
        <v>18839</v>
      </c>
      <c r="F25" s="20">
        <v>23817</v>
      </c>
      <c r="G25" s="20">
        <v>17976</v>
      </c>
      <c r="H25" s="28">
        <v>23043</v>
      </c>
      <c r="I25" s="9"/>
      <c r="J25" s="47"/>
      <c r="K25" s="47"/>
      <c r="L25" s="47"/>
    </row>
    <row r="26" spans="1:12" ht="25.5">
      <c r="A26" s="19" t="s">
        <v>89</v>
      </c>
      <c r="B26" s="19" t="s">
        <v>180</v>
      </c>
      <c r="C26" s="19" t="s">
        <v>149</v>
      </c>
      <c r="D26" s="20">
        <v>16307</v>
      </c>
      <c r="E26" s="20">
        <v>21033</v>
      </c>
      <c r="F26" s="20">
        <v>20802</v>
      </c>
      <c r="G26" s="20">
        <v>18863</v>
      </c>
      <c r="H26" s="28">
        <v>20906</v>
      </c>
      <c r="I26" s="9"/>
      <c r="J26" s="47"/>
      <c r="K26" s="47"/>
      <c r="L26" s="47"/>
    </row>
    <row r="27" spans="1:12" ht="25.5">
      <c r="A27" s="19" t="s">
        <v>89</v>
      </c>
      <c r="B27" s="19" t="s">
        <v>185</v>
      </c>
      <c r="C27" s="19" t="s">
        <v>149</v>
      </c>
      <c r="D27" s="20">
        <v>18006</v>
      </c>
      <c r="E27" s="20">
        <v>13087</v>
      </c>
      <c r="F27" s="20">
        <v>10401</v>
      </c>
      <c r="G27" s="20">
        <v>17167</v>
      </c>
      <c r="H27" s="28">
        <v>19636</v>
      </c>
      <c r="I27" s="9"/>
      <c r="J27" s="47"/>
      <c r="K27" s="47"/>
      <c r="L27" s="47"/>
    </row>
    <row r="28" spans="1:12" ht="25.5">
      <c r="A28" s="19" t="s">
        <v>89</v>
      </c>
      <c r="B28" s="19" t="s">
        <v>181</v>
      </c>
      <c r="C28" s="19" t="s">
        <v>149</v>
      </c>
      <c r="D28" s="20">
        <v>13144</v>
      </c>
      <c r="E28" s="20">
        <v>17188</v>
      </c>
      <c r="F28" s="20">
        <v>15580</v>
      </c>
      <c r="G28" s="20">
        <v>11636</v>
      </c>
      <c r="H28" s="28">
        <v>18952</v>
      </c>
      <c r="I28" s="9"/>
      <c r="J28" s="47"/>
      <c r="K28" s="47"/>
      <c r="L28" s="47"/>
    </row>
    <row r="29" spans="1:12" ht="25.5">
      <c r="A29" s="19" t="s">
        <v>89</v>
      </c>
      <c r="B29" s="19" t="s">
        <v>187</v>
      </c>
      <c r="C29" s="19" t="s">
        <v>149</v>
      </c>
      <c r="D29" s="20">
        <v>10884</v>
      </c>
      <c r="E29" s="20">
        <v>10239</v>
      </c>
      <c r="F29" s="20">
        <v>13624</v>
      </c>
      <c r="G29" s="20">
        <v>2715</v>
      </c>
      <c r="H29" s="28">
        <v>12930</v>
      </c>
      <c r="I29" s="9"/>
      <c r="J29" s="47"/>
      <c r="K29" s="47"/>
      <c r="L29" s="47"/>
    </row>
    <row r="30" spans="1:12" ht="25.5">
      <c r="A30" s="19" t="s">
        <v>89</v>
      </c>
      <c r="B30" s="19" t="s">
        <v>53</v>
      </c>
      <c r="C30" s="19" t="s">
        <v>149</v>
      </c>
      <c r="D30" s="20">
        <v>6000</v>
      </c>
      <c r="E30" s="20">
        <v>38000</v>
      </c>
      <c r="F30" s="20">
        <v>12000</v>
      </c>
      <c r="G30" s="20">
        <v>12000</v>
      </c>
      <c r="H30" s="28">
        <v>12000</v>
      </c>
      <c r="I30" s="9"/>
      <c r="J30" s="47"/>
      <c r="K30" s="47"/>
      <c r="L30" s="47"/>
    </row>
    <row r="31" spans="1:12" ht="25.5">
      <c r="A31" s="19" t="s">
        <v>89</v>
      </c>
      <c r="B31" s="19" t="s">
        <v>47</v>
      </c>
      <c r="C31" s="19" t="s">
        <v>149</v>
      </c>
      <c r="D31" s="20">
        <v>8058</v>
      </c>
      <c r="E31" s="20">
        <v>8360</v>
      </c>
      <c r="F31" s="20">
        <v>8203</v>
      </c>
      <c r="G31" s="20">
        <v>8587</v>
      </c>
      <c r="H31" s="28">
        <v>9438</v>
      </c>
      <c r="I31" s="9"/>
      <c r="J31" s="47"/>
      <c r="K31" s="47"/>
      <c r="L31" s="47"/>
    </row>
    <row r="32" spans="1:12" ht="25.5">
      <c r="A32" s="19" t="s">
        <v>89</v>
      </c>
      <c r="B32" s="19" t="s">
        <v>172</v>
      </c>
      <c r="C32" s="19" t="s">
        <v>149</v>
      </c>
      <c r="D32" s="20">
        <v>3055</v>
      </c>
      <c r="E32" s="20">
        <v>4478</v>
      </c>
      <c r="F32" s="20">
        <v>0</v>
      </c>
      <c r="G32" s="20">
        <v>0</v>
      </c>
      <c r="H32" s="28">
        <v>7384</v>
      </c>
      <c r="I32" s="9"/>
      <c r="J32" s="47"/>
      <c r="K32" s="47"/>
      <c r="L32" s="47"/>
    </row>
    <row r="33" spans="1:12" ht="25.5">
      <c r="A33" s="19" t="s">
        <v>89</v>
      </c>
      <c r="B33" s="19" t="s">
        <v>163</v>
      </c>
      <c r="C33" s="19" t="s">
        <v>149</v>
      </c>
      <c r="D33" s="20">
        <v>7088</v>
      </c>
      <c r="E33" s="20">
        <v>6537</v>
      </c>
      <c r="F33" s="20">
        <v>7115</v>
      </c>
      <c r="G33" s="20">
        <v>6786</v>
      </c>
      <c r="H33" s="28">
        <v>7239</v>
      </c>
      <c r="I33" s="9"/>
      <c r="J33" s="47"/>
      <c r="K33" s="47"/>
      <c r="L33" s="47"/>
    </row>
    <row r="34" spans="1:12" ht="25.5">
      <c r="A34" s="19" t="s">
        <v>89</v>
      </c>
      <c r="B34" s="19" t="s">
        <v>153</v>
      </c>
      <c r="C34" s="19" t="s">
        <v>149</v>
      </c>
      <c r="D34" s="20">
        <v>7430</v>
      </c>
      <c r="E34" s="20">
        <v>4800</v>
      </c>
      <c r="F34" s="20">
        <v>6300</v>
      </c>
      <c r="G34" s="20">
        <v>6500</v>
      </c>
      <c r="H34" s="28">
        <v>6500</v>
      </c>
      <c r="I34" s="9"/>
      <c r="J34" s="47"/>
      <c r="K34" s="47"/>
      <c r="L34" s="47"/>
    </row>
    <row r="35" spans="1:12" ht="25.5">
      <c r="A35" s="19" t="s">
        <v>89</v>
      </c>
      <c r="B35" s="19" t="s">
        <v>158</v>
      </c>
      <c r="C35" s="19" t="s">
        <v>149</v>
      </c>
      <c r="D35" s="20">
        <v>6799</v>
      </c>
      <c r="E35" s="20">
        <v>9016</v>
      </c>
      <c r="F35" s="20">
        <v>6816</v>
      </c>
      <c r="G35" s="20">
        <v>6394</v>
      </c>
      <c r="H35" s="28">
        <v>6362</v>
      </c>
      <c r="I35" s="9"/>
      <c r="J35" s="47"/>
      <c r="K35" s="47"/>
      <c r="L35" s="47"/>
    </row>
    <row r="36" spans="1:12" ht="25.5">
      <c r="A36" s="19" t="s">
        <v>89</v>
      </c>
      <c r="B36" s="19" t="s">
        <v>205</v>
      </c>
      <c r="C36" s="19" t="s">
        <v>149</v>
      </c>
      <c r="D36" s="20">
        <v>4508</v>
      </c>
      <c r="E36" s="20">
        <v>4556</v>
      </c>
      <c r="F36" s="20">
        <v>4102</v>
      </c>
      <c r="G36" s="20">
        <v>4513</v>
      </c>
      <c r="H36" s="28">
        <v>5072</v>
      </c>
      <c r="I36" s="9"/>
      <c r="J36" s="47"/>
      <c r="K36" s="47"/>
      <c r="L36" s="47"/>
    </row>
    <row r="37" spans="1:12" ht="25.5">
      <c r="A37" s="19" t="s">
        <v>89</v>
      </c>
      <c r="B37" s="19" t="s">
        <v>191</v>
      </c>
      <c r="C37" s="19" t="s">
        <v>149</v>
      </c>
      <c r="D37" s="20">
        <v>2756</v>
      </c>
      <c r="E37" s="20">
        <v>0</v>
      </c>
      <c r="F37" s="20">
        <v>0</v>
      </c>
      <c r="G37" s="20">
        <v>0</v>
      </c>
      <c r="H37" s="28">
        <v>2787</v>
      </c>
      <c r="I37" s="9"/>
      <c r="J37" s="47"/>
      <c r="K37" s="47"/>
      <c r="L37" s="47"/>
    </row>
    <row r="38" spans="1:12" ht="25.5">
      <c r="A38" s="19" t="s">
        <v>89</v>
      </c>
      <c r="B38" s="19" t="s">
        <v>152</v>
      </c>
      <c r="C38" s="19" t="s">
        <v>149</v>
      </c>
      <c r="D38" s="20">
        <v>4600</v>
      </c>
      <c r="E38" s="20">
        <v>3200</v>
      </c>
      <c r="F38" s="20">
        <v>300</v>
      </c>
      <c r="G38" s="20">
        <v>300</v>
      </c>
      <c r="H38" s="28">
        <v>2700</v>
      </c>
      <c r="I38" s="9"/>
      <c r="J38" s="47"/>
      <c r="K38" s="47"/>
      <c r="L38" s="47"/>
    </row>
    <row r="39" spans="1:12" ht="25.5">
      <c r="A39" s="19" t="s">
        <v>89</v>
      </c>
      <c r="B39" s="19" t="s">
        <v>207</v>
      </c>
      <c r="C39" s="19" t="s">
        <v>149</v>
      </c>
      <c r="D39" s="20">
        <v>1867</v>
      </c>
      <c r="E39" s="20">
        <v>2144</v>
      </c>
      <c r="F39" s="20">
        <v>2150</v>
      </c>
      <c r="G39" s="20">
        <v>2166</v>
      </c>
      <c r="H39" s="28">
        <v>2023</v>
      </c>
      <c r="I39" s="9"/>
      <c r="J39" s="47"/>
      <c r="K39" s="47"/>
      <c r="L39" s="47"/>
    </row>
    <row r="40" spans="1:12" ht="25.5">
      <c r="A40" s="19" t="s">
        <v>89</v>
      </c>
      <c r="B40" s="19" t="s">
        <v>168</v>
      </c>
      <c r="C40" s="19" t="s">
        <v>149</v>
      </c>
      <c r="D40" s="20">
        <v>1173</v>
      </c>
      <c r="E40" s="20">
        <v>1176</v>
      </c>
      <c r="F40" s="20">
        <v>1199</v>
      </c>
      <c r="G40" s="20">
        <v>1281</v>
      </c>
      <c r="H40" s="28">
        <v>1344</v>
      </c>
      <c r="I40" s="9"/>
      <c r="J40" s="47"/>
      <c r="K40" s="47"/>
      <c r="L40" s="47"/>
    </row>
    <row r="41" spans="1:12" ht="25.5">
      <c r="A41" s="19" t="s">
        <v>89</v>
      </c>
      <c r="B41" s="19" t="s">
        <v>54</v>
      </c>
      <c r="C41" s="19" t="s">
        <v>149</v>
      </c>
      <c r="D41" s="20">
        <v>400</v>
      </c>
      <c r="E41" s="20">
        <v>500</v>
      </c>
      <c r="F41" s="20">
        <v>500</v>
      </c>
      <c r="G41" s="20">
        <v>600</v>
      </c>
      <c r="H41" s="28">
        <v>600</v>
      </c>
      <c r="I41" s="9"/>
      <c r="J41" s="47"/>
      <c r="K41" s="47"/>
      <c r="L41" s="47"/>
    </row>
    <row r="42" spans="1:12" ht="25.5">
      <c r="A42" s="19" t="s">
        <v>89</v>
      </c>
      <c r="B42" s="19" t="s">
        <v>56</v>
      </c>
      <c r="C42" s="19" t="s">
        <v>149</v>
      </c>
      <c r="D42" s="20">
        <v>400</v>
      </c>
      <c r="E42" s="20">
        <v>500</v>
      </c>
      <c r="F42" s="20">
        <v>500</v>
      </c>
      <c r="G42" s="20">
        <v>600</v>
      </c>
      <c r="H42" s="28">
        <v>600</v>
      </c>
      <c r="I42" s="9"/>
      <c r="J42" s="47"/>
      <c r="K42" s="47"/>
      <c r="L42" s="47"/>
    </row>
    <row r="43" spans="1:12" ht="25.5">
      <c r="A43" s="19" t="s">
        <v>89</v>
      </c>
      <c r="B43" s="19" t="s">
        <v>159</v>
      </c>
      <c r="C43" s="19" t="s">
        <v>149</v>
      </c>
      <c r="D43" s="20">
        <v>40</v>
      </c>
      <c r="E43" s="20">
        <v>50</v>
      </c>
      <c r="F43" s="20">
        <v>100</v>
      </c>
      <c r="G43" s="20">
        <v>90</v>
      </c>
      <c r="H43" s="28">
        <v>50</v>
      </c>
      <c r="I43" s="9"/>
      <c r="J43" s="47"/>
      <c r="K43" s="47"/>
      <c r="L43" s="47"/>
    </row>
    <row r="44" spans="1:12" ht="25.5">
      <c r="A44" s="19" t="s">
        <v>89</v>
      </c>
      <c r="B44" s="19" t="s">
        <v>200</v>
      </c>
      <c r="C44" s="19" t="s">
        <v>149</v>
      </c>
      <c r="D44" s="20">
        <v>0</v>
      </c>
      <c r="E44" s="20">
        <v>16788</v>
      </c>
      <c r="F44" s="20">
        <v>0</v>
      </c>
      <c r="G44" s="20">
        <v>16767</v>
      </c>
      <c r="H44" s="28">
        <v>0</v>
      </c>
      <c r="I44" s="9"/>
      <c r="J44" s="47"/>
      <c r="K44" s="47"/>
      <c r="L44" s="47"/>
    </row>
    <row r="45" spans="1:12" ht="25.5">
      <c r="A45" s="19" t="s">
        <v>89</v>
      </c>
      <c r="B45" s="19" t="s">
        <v>46</v>
      </c>
      <c r="C45" s="19" t="s">
        <v>149</v>
      </c>
      <c r="D45" s="20">
        <v>5053</v>
      </c>
      <c r="E45" s="20">
        <v>0</v>
      </c>
      <c r="F45" s="20">
        <v>13868</v>
      </c>
      <c r="G45" s="20">
        <v>0</v>
      </c>
      <c r="H45" s="28">
        <v>0</v>
      </c>
      <c r="I45" s="9"/>
      <c r="J45" s="47"/>
      <c r="K45" s="47"/>
      <c r="L45" s="47"/>
    </row>
    <row r="46" spans="1:12" ht="25.5">
      <c r="A46" s="19" t="s">
        <v>89</v>
      </c>
      <c r="B46" s="19" t="s">
        <v>162</v>
      </c>
      <c r="C46" s="19" t="s">
        <v>149</v>
      </c>
      <c r="D46" s="20">
        <v>0</v>
      </c>
      <c r="E46" s="20">
        <v>8179</v>
      </c>
      <c r="F46" s="20">
        <v>254</v>
      </c>
      <c r="G46" s="20">
        <v>0</v>
      </c>
      <c r="H46" s="28">
        <v>0</v>
      </c>
      <c r="I46" s="9"/>
      <c r="J46" s="47"/>
      <c r="K46" s="47"/>
      <c r="L46" s="47"/>
    </row>
    <row r="47" spans="1:12" ht="25.5">
      <c r="A47" s="19" t="s">
        <v>89</v>
      </c>
      <c r="B47" s="19" t="s">
        <v>184</v>
      </c>
      <c r="C47" s="19" t="s">
        <v>149</v>
      </c>
      <c r="D47" s="20">
        <v>2000</v>
      </c>
      <c r="E47" s="20">
        <v>2000</v>
      </c>
      <c r="F47" s="20">
        <v>0</v>
      </c>
      <c r="G47" s="20">
        <v>0</v>
      </c>
      <c r="H47" s="28">
        <v>0</v>
      </c>
      <c r="I47" s="9"/>
      <c r="J47" s="47"/>
      <c r="K47" s="47"/>
      <c r="L47" s="47"/>
    </row>
    <row r="48" spans="1:12" ht="25.5">
      <c r="A48" s="19" t="s">
        <v>89</v>
      </c>
      <c r="B48" s="19" t="s">
        <v>190</v>
      </c>
      <c r="C48" s="19" t="s">
        <v>149</v>
      </c>
      <c r="D48" s="20">
        <v>0</v>
      </c>
      <c r="E48" s="20">
        <v>0</v>
      </c>
      <c r="F48" s="20">
        <v>0</v>
      </c>
      <c r="G48" s="20">
        <v>0</v>
      </c>
      <c r="H48" s="28">
        <v>0</v>
      </c>
      <c r="I48" s="9"/>
      <c r="J48" s="47"/>
      <c r="K48" s="47"/>
      <c r="L48" s="47"/>
    </row>
    <row r="49" spans="1:12" ht="25.5">
      <c r="A49" s="19" t="s">
        <v>89</v>
      </c>
      <c r="B49" s="19" t="s">
        <v>206</v>
      </c>
      <c r="C49" s="19" t="s">
        <v>149</v>
      </c>
      <c r="D49" s="20">
        <v>3000</v>
      </c>
      <c r="E49" s="20">
        <v>0</v>
      </c>
      <c r="F49" s="20">
        <v>0</v>
      </c>
      <c r="G49" s="20">
        <v>0</v>
      </c>
      <c r="H49" s="28">
        <v>0</v>
      </c>
      <c r="I49" s="9"/>
      <c r="J49" s="47"/>
      <c r="K49" s="47"/>
      <c r="L49" s="47"/>
    </row>
    <row r="50" ht="12.75">
      <c r="A50" s="2"/>
    </row>
  </sheetData>
  <mergeCells count="2">
    <mergeCell ref="A2:H2"/>
    <mergeCell ref="J2:L2"/>
  </mergeCells>
  <printOptions/>
  <pageMargins left="0.787401575" right="0.787401575" top="1" bottom="1" header="0" footer="0"/>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76"/>
  <sheetViews>
    <sheetView workbookViewId="0" topLeftCell="A1"/>
  </sheetViews>
  <sheetFormatPr defaultColWidth="11.00390625" defaultRowHeight="12.75"/>
  <cols>
    <col min="1" max="1" width="15.125" style="0" bestFit="1" customWidth="1"/>
    <col min="2" max="2" width="21.00390625" style="0" customWidth="1"/>
    <col min="3" max="3" width="9.625" style="0" customWidth="1"/>
    <col min="4" max="4" width="7.25390625" style="0" customWidth="1"/>
    <col min="5" max="5" width="8.00390625" style="0" customWidth="1"/>
    <col min="6" max="6" width="8.25390625" style="0" customWidth="1"/>
    <col min="7" max="8" width="8.875" style="0" customWidth="1"/>
    <col min="9" max="9" width="5.375" style="0" customWidth="1"/>
    <col min="10" max="10" width="13.875" style="0" customWidth="1"/>
    <col min="11" max="11" width="13.125" style="0" customWidth="1"/>
    <col min="12" max="12" width="15.25390625" style="0" customWidth="1"/>
  </cols>
  <sheetData>
    <row r="2" spans="1:12" ht="15.75">
      <c r="A2" s="272" t="s">
        <v>82</v>
      </c>
      <c r="B2" s="263"/>
      <c r="C2" s="263"/>
      <c r="D2" s="263"/>
      <c r="E2" s="263"/>
      <c r="F2" s="263"/>
      <c r="G2" s="263"/>
      <c r="H2" s="264"/>
      <c r="I2" s="22"/>
      <c r="J2" s="272" t="s">
        <v>76</v>
      </c>
      <c r="K2" s="263"/>
      <c r="L2" s="264"/>
    </row>
    <row r="3" spans="1:12" ht="12.75">
      <c r="A3" s="10" t="s">
        <v>73</v>
      </c>
      <c r="B3" s="10" t="s">
        <v>74</v>
      </c>
      <c r="C3" s="10" t="s">
        <v>75</v>
      </c>
      <c r="D3" s="10">
        <v>2003</v>
      </c>
      <c r="E3" s="10">
        <v>2004</v>
      </c>
      <c r="F3" s="10">
        <v>2005</v>
      </c>
      <c r="G3" s="10">
        <v>2006</v>
      </c>
      <c r="H3" s="23">
        <v>2007</v>
      </c>
      <c r="I3" s="24"/>
      <c r="J3" s="25" t="s">
        <v>63</v>
      </c>
      <c r="K3" s="26" t="s">
        <v>64</v>
      </c>
      <c r="L3" s="26" t="s">
        <v>65</v>
      </c>
    </row>
    <row r="4" spans="1:12" ht="25.5">
      <c r="A4" s="19" t="s">
        <v>94</v>
      </c>
      <c r="B4" s="19" t="s">
        <v>69</v>
      </c>
      <c r="C4" s="19" t="s">
        <v>149</v>
      </c>
      <c r="D4" s="19">
        <v>2794826</v>
      </c>
      <c r="E4" s="19">
        <v>2914666</v>
      </c>
      <c r="F4" s="19">
        <v>2991207</v>
      </c>
      <c r="G4" s="19">
        <v>18481763</v>
      </c>
      <c r="H4" s="27">
        <v>46584892</v>
      </c>
      <c r="I4" s="9"/>
      <c r="J4" s="49"/>
      <c r="K4" s="49"/>
      <c r="L4" s="49"/>
    </row>
    <row r="5" spans="1:12" ht="25.5">
      <c r="A5" s="19" t="s">
        <v>94</v>
      </c>
      <c r="B5" s="19" t="s">
        <v>219</v>
      </c>
      <c r="C5" s="19" t="s">
        <v>149</v>
      </c>
      <c r="D5" s="19">
        <v>2794586</v>
      </c>
      <c r="E5" s="19">
        <v>2914507</v>
      </c>
      <c r="F5" s="19">
        <v>2991035</v>
      </c>
      <c r="G5" s="19">
        <v>18481591</v>
      </c>
      <c r="H5" s="27">
        <v>46584700</v>
      </c>
      <c r="I5" s="9"/>
      <c r="J5" s="49"/>
      <c r="K5" s="49"/>
      <c r="L5" s="49"/>
    </row>
    <row r="6" spans="1:12" ht="25.5">
      <c r="A6" s="19" t="s">
        <v>94</v>
      </c>
      <c r="B6" s="19" t="s">
        <v>57</v>
      </c>
      <c r="C6" s="19" t="s">
        <v>149</v>
      </c>
      <c r="D6" s="19">
        <v>8914942</v>
      </c>
      <c r="E6" s="19">
        <v>8359956</v>
      </c>
      <c r="F6" s="19">
        <v>7881527</v>
      </c>
      <c r="G6" s="19">
        <v>8635524</v>
      </c>
      <c r="H6" s="27">
        <v>9726810</v>
      </c>
      <c r="I6" s="9"/>
      <c r="J6" s="49"/>
      <c r="K6" s="49"/>
      <c r="L6" s="49"/>
    </row>
    <row r="7" spans="1:12" ht="25.5">
      <c r="A7" s="19" t="s">
        <v>94</v>
      </c>
      <c r="B7" s="19" t="s">
        <v>58</v>
      </c>
      <c r="C7" s="19" t="s">
        <v>149</v>
      </c>
      <c r="D7" s="19">
        <v>7883599</v>
      </c>
      <c r="E7" s="19">
        <v>8046492</v>
      </c>
      <c r="F7" s="19">
        <v>8174601</v>
      </c>
      <c r="G7" s="19">
        <v>8425030</v>
      </c>
      <c r="H7" s="27">
        <v>8711351</v>
      </c>
      <c r="I7" s="9"/>
      <c r="J7" s="49"/>
      <c r="K7" s="49"/>
      <c r="L7" s="49"/>
    </row>
    <row r="8" spans="1:12" ht="25.5">
      <c r="A8" s="19" t="s">
        <v>94</v>
      </c>
      <c r="B8" s="19" t="s">
        <v>179</v>
      </c>
      <c r="C8" s="19" t="s">
        <v>149</v>
      </c>
      <c r="D8" s="19">
        <v>5822867</v>
      </c>
      <c r="E8" s="19">
        <v>5078106</v>
      </c>
      <c r="F8" s="19">
        <v>4735670</v>
      </c>
      <c r="G8" s="19">
        <v>5456449</v>
      </c>
      <c r="H8" s="27">
        <v>6477003</v>
      </c>
      <c r="I8" s="9"/>
      <c r="J8" s="49">
        <f>0.1355*H8</f>
        <v>877633.9065</v>
      </c>
      <c r="K8" s="49">
        <f>0.1235*H8</f>
        <v>799909.8705</v>
      </c>
      <c r="L8" s="49">
        <f>0.7177*H8</f>
        <v>4648545.0531</v>
      </c>
    </row>
    <row r="9" spans="1:12" ht="25.5">
      <c r="A9" s="19" t="s">
        <v>94</v>
      </c>
      <c r="B9" s="19" t="s">
        <v>62</v>
      </c>
      <c r="C9" s="19" t="s">
        <v>149</v>
      </c>
      <c r="D9" s="19">
        <v>5009819</v>
      </c>
      <c r="E9" s="19">
        <v>5282285</v>
      </c>
      <c r="F9" s="19">
        <v>5425800</v>
      </c>
      <c r="G9" s="19">
        <v>5671829</v>
      </c>
      <c r="H9" s="27">
        <v>5565007</v>
      </c>
      <c r="I9" s="9"/>
      <c r="J9" s="49"/>
      <c r="K9" s="49"/>
      <c r="L9" s="49"/>
    </row>
    <row r="10" spans="1:12" ht="25.5">
      <c r="A10" s="19" t="s">
        <v>93</v>
      </c>
      <c r="B10" s="19" t="s">
        <v>157</v>
      </c>
      <c r="C10" s="19" t="s">
        <v>149</v>
      </c>
      <c r="D10" s="19">
        <v>3242797</v>
      </c>
      <c r="E10" s="19">
        <v>3525742</v>
      </c>
      <c r="F10" s="19">
        <v>3672242</v>
      </c>
      <c r="G10" s="19">
        <v>3770812</v>
      </c>
      <c r="H10" s="27">
        <v>3624447</v>
      </c>
      <c r="I10" s="9"/>
      <c r="J10" s="50"/>
      <c r="K10" s="49"/>
      <c r="L10" s="49">
        <f>0.14*H10</f>
        <v>507422.5800000001</v>
      </c>
    </row>
    <row r="11" spans="1:12" ht="25.5">
      <c r="A11" s="19" t="s">
        <v>95</v>
      </c>
      <c r="B11" s="19" t="s">
        <v>72</v>
      </c>
      <c r="C11" s="19" t="s">
        <v>149</v>
      </c>
      <c r="D11" s="19">
        <v>2963541</v>
      </c>
      <c r="E11" s="19">
        <v>2880644</v>
      </c>
      <c r="F11" s="19">
        <v>2877298</v>
      </c>
      <c r="G11" s="19">
        <v>2938008</v>
      </c>
      <c r="H11" s="27">
        <v>2986285</v>
      </c>
      <c r="I11" s="9"/>
      <c r="J11" s="49"/>
      <c r="K11" s="49"/>
      <c r="L11" s="49"/>
    </row>
    <row r="12" spans="1:12" ht="25.5">
      <c r="A12" s="19" t="s">
        <v>94</v>
      </c>
      <c r="B12" s="19" t="s">
        <v>189</v>
      </c>
      <c r="C12" s="19" t="s">
        <v>149</v>
      </c>
      <c r="D12" s="19">
        <v>2279250</v>
      </c>
      <c r="E12" s="19">
        <v>2418973</v>
      </c>
      <c r="F12" s="19">
        <v>2389160</v>
      </c>
      <c r="G12" s="19">
        <v>2447715</v>
      </c>
      <c r="H12" s="27">
        <v>2499309</v>
      </c>
      <c r="I12" s="9"/>
      <c r="J12" s="49">
        <f>0.643*H12</f>
        <v>1607055.6870000002</v>
      </c>
      <c r="K12" s="49">
        <f>0.54*H12</f>
        <v>1349626.86</v>
      </c>
      <c r="L12" s="49">
        <f>18.8*H12</f>
        <v>46987009.2</v>
      </c>
    </row>
    <row r="13" spans="1:13" ht="25.5">
      <c r="A13" s="19" t="s">
        <v>94</v>
      </c>
      <c r="B13" s="19" t="s">
        <v>169</v>
      </c>
      <c r="C13" s="19" t="s">
        <v>149</v>
      </c>
      <c r="D13" s="19">
        <v>1834297</v>
      </c>
      <c r="E13" s="19">
        <v>1854245</v>
      </c>
      <c r="F13" s="19">
        <v>1865884</v>
      </c>
      <c r="G13" s="19">
        <v>2048000</v>
      </c>
      <c r="H13" s="27">
        <v>1990682</v>
      </c>
      <c r="I13" s="9"/>
      <c r="J13" s="49"/>
      <c r="K13" s="49"/>
      <c r="L13" s="6"/>
      <c r="M13" s="8"/>
    </row>
    <row r="14" spans="1:12" ht="25.5">
      <c r="A14" s="19" t="s">
        <v>94</v>
      </c>
      <c r="B14" s="19" t="s">
        <v>203</v>
      </c>
      <c r="C14" s="19" t="s">
        <v>149</v>
      </c>
      <c r="D14" s="19">
        <v>1775597</v>
      </c>
      <c r="E14" s="19">
        <v>2113428</v>
      </c>
      <c r="F14" s="19">
        <v>2030378</v>
      </c>
      <c r="G14" s="19">
        <v>1872030</v>
      </c>
      <c r="H14" s="27">
        <v>1837422</v>
      </c>
      <c r="I14" s="9"/>
      <c r="J14" s="49"/>
      <c r="K14" s="49"/>
      <c r="L14" s="49">
        <f>0.3425*H14</f>
        <v>629317.035</v>
      </c>
    </row>
    <row r="15" spans="1:13" ht="25.5">
      <c r="A15" s="19" t="s">
        <v>94</v>
      </c>
      <c r="B15" s="19" t="s">
        <v>52</v>
      </c>
      <c r="C15" s="19" t="s">
        <v>149</v>
      </c>
      <c r="D15" s="19">
        <v>1661572</v>
      </c>
      <c r="E15" s="19">
        <v>1618412</v>
      </c>
      <c r="F15" s="19">
        <v>1610712</v>
      </c>
      <c r="G15" s="19">
        <v>1676580</v>
      </c>
      <c r="H15" s="27">
        <v>1698151</v>
      </c>
      <c r="I15" s="9"/>
      <c r="J15" s="49"/>
      <c r="K15" s="49"/>
      <c r="L15" s="6"/>
      <c r="M15" s="8"/>
    </row>
    <row r="16" spans="1:12" ht="25.5">
      <c r="A16" s="19" t="s">
        <v>94</v>
      </c>
      <c r="B16" s="19" t="s">
        <v>198</v>
      </c>
      <c r="C16" s="19" t="s">
        <v>149</v>
      </c>
      <c r="D16" s="19">
        <v>1527152</v>
      </c>
      <c r="E16" s="19">
        <v>1471671</v>
      </c>
      <c r="F16" s="19">
        <v>1506205</v>
      </c>
      <c r="G16" s="19">
        <v>1642312</v>
      </c>
      <c r="H16" s="27">
        <v>1681045</v>
      </c>
      <c r="I16" s="9"/>
      <c r="J16" s="49"/>
      <c r="K16" s="49"/>
      <c r="L16" s="49">
        <f>0.096*H16</f>
        <v>161380.32</v>
      </c>
    </row>
    <row r="17" spans="1:12" ht="25.5">
      <c r="A17" s="19" t="s">
        <v>94</v>
      </c>
      <c r="B17" s="19" t="s">
        <v>53</v>
      </c>
      <c r="C17" s="19" t="s">
        <v>149</v>
      </c>
      <c r="D17" s="19">
        <v>1499053</v>
      </c>
      <c r="E17" s="19">
        <v>1470584</v>
      </c>
      <c r="F17" s="19">
        <v>1422027</v>
      </c>
      <c r="G17" s="19">
        <v>1584797</v>
      </c>
      <c r="H17" s="27">
        <v>1648324</v>
      </c>
      <c r="I17" s="9"/>
      <c r="J17" s="49"/>
      <c r="K17" s="49"/>
      <c r="L17" s="49">
        <f>0.353*H17</f>
        <v>581858.372</v>
      </c>
    </row>
    <row r="18" spans="1:12" ht="25.5">
      <c r="A18" s="19" t="s">
        <v>94</v>
      </c>
      <c r="B18" s="19" t="s">
        <v>204</v>
      </c>
      <c r="C18" s="19" t="s">
        <v>149</v>
      </c>
      <c r="D18" s="19">
        <v>1338194</v>
      </c>
      <c r="E18" s="19">
        <v>1422558</v>
      </c>
      <c r="F18" s="19">
        <v>1464748</v>
      </c>
      <c r="G18" s="19">
        <v>1524325</v>
      </c>
      <c r="H18" s="27">
        <v>1488353</v>
      </c>
      <c r="I18" s="9"/>
      <c r="J18" s="49"/>
      <c r="K18" s="49"/>
      <c r="L18" s="49"/>
    </row>
    <row r="19" spans="1:12" ht="25.5">
      <c r="A19" s="19" t="s">
        <v>94</v>
      </c>
      <c r="B19" s="19" t="s">
        <v>59</v>
      </c>
      <c r="C19" s="19" t="s">
        <v>149</v>
      </c>
      <c r="D19" s="19">
        <v>849738</v>
      </c>
      <c r="E19" s="19">
        <v>1097346</v>
      </c>
      <c r="F19" s="19">
        <v>871379</v>
      </c>
      <c r="G19" s="19">
        <v>976639</v>
      </c>
      <c r="H19" s="27">
        <v>1348697</v>
      </c>
      <c r="I19" s="9"/>
      <c r="J19" s="49"/>
      <c r="K19" s="49"/>
      <c r="L19" s="49"/>
    </row>
    <row r="20" spans="1:12" ht="25.5">
      <c r="A20" s="19" t="s">
        <v>93</v>
      </c>
      <c r="B20" s="19" t="s">
        <v>151</v>
      </c>
      <c r="C20" s="19" t="s">
        <v>149</v>
      </c>
      <c r="D20" s="19">
        <v>1342536</v>
      </c>
      <c r="E20" s="19">
        <v>1309657</v>
      </c>
      <c r="F20" s="19">
        <v>1248831</v>
      </c>
      <c r="G20" s="19">
        <v>1282126</v>
      </c>
      <c r="H20" s="27">
        <v>1299993</v>
      </c>
      <c r="I20" s="9"/>
      <c r="J20" s="49">
        <f>0.5025*H20</f>
        <v>653246.4824999999</v>
      </c>
      <c r="K20" s="49"/>
      <c r="L20" s="49">
        <f>0.095*H20</f>
        <v>123499.335</v>
      </c>
    </row>
    <row r="21" spans="1:12" ht="25.5">
      <c r="A21" s="19" t="s">
        <v>94</v>
      </c>
      <c r="B21" s="19" t="s">
        <v>202</v>
      </c>
      <c r="C21" s="19" t="s">
        <v>149</v>
      </c>
      <c r="D21" s="19">
        <v>1184323</v>
      </c>
      <c r="E21" s="19">
        <v>1409656</v>
      </c>
      <c r="F21" s="19">
        <v>1354262</v>
      </c>
      <c r="G21" s="19">
        <v>1248644</v>
      </c>
      <c r="H21" s="27">
        <v>1225561</v>
      </c>
      <c r="I21" s="9"/>
      <c r="J21" s="49"/>
      <c r="K21" s="49"/>
      <c r="L21" s="49">
        <f>0.3425*H21</f>
        <v>419754.6425</v>
      </c>
    </row>
    <row r="22" spans="1:12" ht="25.5">
      <c r="A22" s="19" t="s">
        <v>94</v>
      </c>
      <c r="B22" s="19" t="s">
        <v>197</v>
      </c>
      <c r="C22" s="19" t="s">
        <v>149</v>
      </c>
      <c r="D22" s="19">
        <v>969787</v>
      </c>
      <c r="E22" s="19">
        <v>1001340</v>
      </c>
      <c r="F22" s="19">
        <v>1012404</v>
      </c>
      <c r="G22" s="19">
        <v>1022084</v>
      </c>
      <c r="H22" s="27">
        <v>1055732</v>
      </c>
      <c r="I22" s="9"/>
      <c r="J22" s="49"/>
      <c r="K22" s="49"/>
      <c r="L22" s="49">
        <f>0.069*H22</f>
        <v>72845.508</v>
      </c>
    </row>
    <row r="23" spans="1:12" ht="25.5">
      <c r="A23" s="19" t="s">
        <v>94</v>
      </c>
      <c r="B23" s="19" t="s">
        <v>213</v>
      </c>
      <c r="C23" s="19" t="s">
        <v>149</v>
      </c>
      <c r="D23" s="19">
        <v>445715</v>
      </c>
      <c r="E23" s="19">
        <v>413365</v>
      </c>
      <c r="F23" s="19">
        <v>478608</v>
      </c>
      <c r="G23" s="19">
        <v>572458</v>
      </c>
      <c r="H23" s="27">
        <v>957212</v>
      </c>
      <c r="I23" s="9"/>
      <c r="J23" s="49"/>
      <c r="K23" s="49"/>
      <c r="L23" s="49">
        <f>0.44*H23</f>
        <v>421173.28</v>
      </c>
    </row>
    <row r="24" spans="1:12" ht="25.5">
      <c r="A24" s="19" t="s">
        <v>94</v>
      </c>
      <c r="B24" s="19" t="s">
        <v>51</v>
      </c>
      <c r="C24" s="19" t="s">
        <v>149</v>
      </c>
      <c r="D24" s="19">
        <v>874164</v>
      </c>
      <c r="E24" s="19">
        <v>854090</v>
      </c>
      <c r="F24" s="19">
        <v>857474</v>
      </c>
      <c r="G24" s="19">
        <v>850603</v>
      </c>
      <c r="H24" s="27">
        <v>867170</v>
      </c>
      <c r="I24" s="9"/>
      <c r="J24" s="49"/>
      <c r="K24" s="49"/>
      <c r="L24" s="49">
        <f>0.197*H24</f>
        <v>170832.49000000002</v>
      </c>
    </row>
    <row r="25" spans="1:12" ht="25.5">
      <c r="A25" s="19" t="s">
        <v>94</v>
      </c>
      <c r="B25" s="19" t="s">
        <v>196</v>
      </c>
      <c r="C25" s="19" t="s">
        <v>149</v>
      </c>
      <c r="D25" s="19">
        <v>648359</v>
      </c>
      <c r="E25" s="19">
        <v>654814</v>
      </c>
      <c r="F25" s="19">
        <v>677262</v>
      </c>
      <c r="G25" s="19">
        <v>777092</v>
      </c>
      <c r="H25" s="27">
        <v>805723</v>
      </c>
      <c r="I25" s="9"/>
      <c r="J25" s="36"/>
      <c r="K25" s="36"/>
      <c r="L25" s="36"/>
    </row>
    <row r="26" spans="1:12" ht="25.5">
      <c r="A26" s="19" t="s">
        <v>94</v>
      </c>
      <c r="B26" s="19" t="s">
        <v>188</v>
      </c>
      <c r="C26" s="19" t="s">
        <v>149</v>
      </c>
      <c r="D26" s="19">
        <v>427805</v>
      </c>
      <c r="E26" s="19">
        <v>408142</v>
      </c>
      <c r="F26" s="19">
        <v>409112</v>
      </c>
      <c r="G26" s="19">
        <v>410825</v>
      </c>
      <c r="H26" s="27">
        <v>420964</v>
      </c>
      <c r="I26" s="9"/>
      <c r="J26" s="36"/>
      <c r="K26" s="36"/>
      <c r="L26" s="36"/>
    </row>
    <row r="27" spans="1:12" ht="25.5">
      <c r="A27" s="19" t="s">
        <v>94</v>
      </c>
      <c r="B27" s="19" t="s">
        <v>171</v>
      </c>
      <c r="C27" s="19" t="s">
        <v>149</v>
      </c>
      <c r="D27" s="19">
        <v>186763</v>
      </c>
      <c r="E27" s="19">
        <v>209901</v>
      </c>
      <c r="F27" s="19">
        <v>271166</v>
      </c>
      <c r="G27" s="19">
        <v>253764</v>
      </c>
      <c r="H27" s="27">
        <v>382072</v>
      </c>
      <c r="I27" s="9"/>
      <c r="J27" s="36"/>
      <c r="K27" s="36"/>
      <c r="L27" s="36"/>
    </row>
    <row r="28" spans="1:12" ht="25.5">
      <c r="A28" s="19" t="s">
        <v>93</v>
      </c>
      <c r="B28" s="19" t="s">
        <v>163</v>
      </c>
      <c r="C28" s="19" t="s">
        <v>149</v>
      </c>
      <c r="D28" s="19">
        <v>362308</v>
      </c>
      <c r="E28" s="19">
        <v>374913</v>
      </c>
      <c r="F28" s="19">
        <v>345275</v>
      </c>
      <c r="G28" s="19">
        <v>360868</v>
      </c>
      <c r="H28" s="27">
        <v>347666</v>
      </c>
      <c r="I28" s="9"/>
      <c r="J28" s="36"/>
      <c r="K28" s="36"/>
      <c r="L28" s="36"/>
    </row>
    <row r="29" spans="1:12" ht="25.5">
      <c r="A29" s="19" t="s">
        <v>94</v>
      </c>
      <c r="B29" s="19" t="s">
        <v>178</v>
      </c>
      <c r="C29" s="19" t="s">
        <v>149</v>
      </c>
      <c r="D29" s="19">
        <v>292609</v>
      </c>
      <c r="E29" s="19">
        <v>293300</v>
      </c>
      <c r="F29" s="19">
        <v>315457</v>
      </c>
      <c r="G29" s="19">
        <v>296114</v>
      </c>
      <c r="H29" s="27">
        <v>337318</v>
      </c>
      <c r="I29" s="9"/>
      <c r="J29" s="36"/>
      <c r="K29" s="36"/>
      <c r="L29" s="36"/>
    </row>
    <row r="30" spans="1:12" ht="25.5">
      <c r="A30" s="19" t="s">
        <v>93</v>
      </c>
      <c r="B30" s="19" t="s">
        <v>150</v>
      </c>
      <c r="C30" s="19" t="s">
        <v>149</v>
      </c>
      <c r="D30" s="19">
        <v>288863</v>
      </c>
      <c r="E30" s="19">
        <v>263573</v>
      </c>
      <c r="F30" s="19">
        <v>346355</v>
      </c>
      <c r="G30" s="19">
        <v>256397</v>
      </c>
      <c r="H30" s="27">
        <v>298621</v>
      </c>
      <c r="I30" s="9"/>
      <c r="J30" s="36"/>
      <c r="K30" s="36"/>
      <c r="L30" s="36"/>
    </row>
    <row r="31" spans="1:12" ht="25.5">
      <c r="A31" s="19" t="s">
        <v>94</v>
      </c>
      <c r="B31" s="19" t="s">
        <v>211</v>
      </c>
      <c r="C31" s="19" t="s">
        <v>149</v>
      </c>
      <c r="D31" s="19">
        <v>209895</v>
      </c>
      <c r="E31" s="19">
        <v>204867</v>
      </c>
      <c r="F31" s="19">
        <v>170511</v>
      </c>
      <c r="G31" s="19">
        <v>156153</v>
      </c>
      <c r="H31" s="27">
        <v>169757</v>
      </c>
      <c r="I31" s="9"/>
      <c r="J31" s="36"/>
      <c r="K31" s="36"/>
      <c r="L31" s="36"/>
    </row>
    <row r="32" spans="1:12" ht="25.5">
      <c r="A32" s="19" t="s">
        <v>94</v>
      </c>
      <c r="B32" s="19" t="s">
        <v>47</v>
      </c>
      <c r="C32" s="19" t="s">
        <v>149</v>
      </c>
      <c r="D32" s="19">
        <v>135455</v>
      </c>
      <c r="E32" s="19">
        <v>145201</v>
      </c>
      <c r="F32" s="19">
        <v>142329</v>
      </c>
      <c r="G32" s="19">
        <v>145865</v>
      </c>
      <c r="H32" s="27">
        <v>145535</v>
      </c>
      <c r="I32" s="9"/>
      <c r="J32" s="36"/>
      <c r="K32" s="36"/>
      <c r="L32" s="36"/>
    </row>
    <row r="33" spans="1:12" ht="25.5">
      <c r="A33" s="19" t="s">
        <v>94</v>
      </c>
      <c r="B33" s="19" t="s">
        <v>60</v>
      </c>
      <c r="C33" s="19" t="s">
        <v>149</v>
      </c>
      <c r="D33" s="19">
        <v>129602</v>
      </c>
      <c r="E33" s="19">
        <v>116696</v>
      </c>
      <c r="F33" s="19">
        <v>120785</v>
      </c>
      <c r="G33" s="19">
        <v>139649</v>
      </c>
      <c r="H33" s="27">
        <v>138910</v>
      </c>
      <c r="I33" s="9"/>
      <c r="J33" s="36"/>
      <c r="K33" s="36"/>
      <c r="L33" s="36"/>
    </row>
    <row r="34" spans="1:12" ht="25.5">
      <c r="A34" s="19" t="s">
        <v>93</v>
      </c>
      <c r="B34" s="19" t="s">
        <v>152</v>
      </c>
      <c r="C34" s="19" t="s">
        <v>149</v>
      </c>
      <c r="D34" s="19">
        <v>113778</v>
      </c>
      <c r="E34" s="19">
        <v>110802</v>
      </c>
      <c r="F34" s="19">
        <v>114558</v>
      </c>
      <c r="G34" s="19">
        <v>117558</v>
      </c>
      <c r="H34" s="27">
        <v>124184</v>
      </c>
      <c r="I34" s="9"/>
      <c r="J34" s="36"/>
      <c r="K34" s="36"/>
      <c r="L34" s="36"/>
    </row>
    <row r="35" spans="1:12" ht="25.5">
      <c r="A35" s="19" t="s">
        <v>93</v>
      </c>
      <c r="B35" s="19" t="s">
        <v>153</v>
      </c>
      <c r="C35" s="19" t="s">
        <v>149</v>
      </c>
      <c r="D35" s="19">
        <v>118409</v>
      </c>
      <c r="E35" s="19">
        <v>105937</v>
      </c>
      <c r="F35" s="19">
        <v>109124</v>
      </c>
      <c r="G35" s="19">
        <v>122914</v>
      </c>
      <c r="H35" s="27">
        <v>121588</v>
      </c>
      <c r="I35" s="9"/>
      <c r="J35" s="36"/>
      <c r="K35" s="36"/>
      <c r="L35" s="36"/>
    </row>
    <row r="36" spans="1:12" ht="25.5">
      <c r="A36" s="19" t="s">
        <v>94</v>
      </c>
      <c r="B36" s="19" t="s">
        <v>67</v>
      </c>
      <c r="C36" s="19" t="s">
        <v>149</v>
      </c>
      <c r="D36" s="19">
        <v>90814</v>
      </c>
      <c r="E36" s="19">
        <v>75762</v>
      </c>
      <c r="F36" s="19">
        <v>87746</v>
      </c>
      <c r="G36" s="19">
        <v>98936</v>
      </c>
      <c r="H36" s="27">
        <v>110646</v>
      </c>
      <c r="I36" s="9"/>
      <c r="J36" s="36"/>
      <c r="K36" s="36"/>
      <c r="L36" s="36"/>
    </row>
    <row r="37" spans="1:12" ht="25.5">
      <c r="A37" s="19" t="s">
        <v>94</v>
      </c>
      <c r="B37" s="19" t="s">
        <v>221</v>
      </c>
      <c r="C37" s="19" t="s">
        <v>149</v>
      </c>
      <c r="D37" s="19">
        <v>122836</v>
      </c>
      <c r="E37" s="19">
        <v>196366</v>
      </c>
      <c r="F37" s="19">
        <v>78216</v>
      </c>
      <c r="G37" s="19">
        <v>84469</v>
      </c>
      <c r="H37" s="27">
        <v>83434</v>
      </c>
      <c r="I37" s="9"/>
      <c r="J37" s="36"/>
      <c r="K37" s="36"/>
      <c r="L37" s="36"/>
    </row>
    <row r="38" spans="1:12" ht="25.5">
      <c r="A38" s="19" t="s">
        <v>94</v>
      </c>
      <c r="B38" s="19" t="s">
        <v>68</v>
      </c>
      <c r="C38" s="19" t="s">
        <v>149</v>
      </c>
      <c r="D38" s="19">
        <v>122836</v>
      </c>
      <c r="E38" s="19">
        <v>196366</v>
      </c>
      <c r="F38" s="19">
        <v>78216</v>
      </c>
      <c r="G38" s="19">
        <v>84469</v>
      </c>
      <c r="H38" s="27">
        <v>83434</v>
      </c>
      <c r="I38" s="9"/>
      <c r="J38" s="36"/>
      <c r="K38" s="36"/>
      <c r="L38" s="36"/>
    </row>
    <row r="39" spans="1:12" ht="25.5">
      <c r="A39" s="19" t="s">
        <v>94</v>
      </c>
      <c r="B39" s="19" t="s">
        <v>184</v>
      </c>
      <c r="C39" s="19" t="s">
        <v>149</v>
      </c>
      <c r="D39" s="19">
        <v>72004</v>
      </c>
      <c r="E39" s="19">
        <v>74427</v>
      </c>
      <c r="F39" s="19">
        <v>72081</v>
      </c>
      <c r="G39" s="19">
        <v>60367</v>
      </c>
      <c r="H39" s="27">
        <v>70125</v>
      </c>
      <c r="I39" s="9"/>
      <c r="J39" s="36"/>
      <c r="K39" s="36"/>
      <c r="L39" s="36"/>
    </row>
    <row r="40" spans="1:12" ht="25.5">
      <c r="A40" s="19" t="s">
        <v>94</v>
      </c>
      <c r="B40" s="19" t="s">
        <v>54</v>
      </c>
      <c r="C40" s="19" t="s">
        <v>149</v>
      </c>
      <c r="D40" s="19">
        <v>15159</v>
      </c>
      <c r="E40" s="19">
        <v>298837</v>
      </c>
      <c r="F40" s="19">
        <v>207090</v>
      </c>
      <c r="G40" s="19">
        <v>144347</v>
      </c>
      <c r="H40" s="27">
        <v>64288</v>
      </c>
      <c r="I40" s="9"/>
      <c r="J40" s="36"/>
      <c r="K40" s="36"/>
      <c r="L40" s="36"/>
    </row>
    <row r="41" spans="1:12" ht="25.5">
      <c r="A41" s="19" t="s">
        <v>94</v>
      </c>
      <c r="B41" s="19" t="s">
        <v>56</v>
      </c>
      <c r="C41" s="19" t="s">
        <v>149</v>
      </c>
      <c r="D41" s="19">
        <v>15159</v>
      </c>
      <c r="E41" s="19">
        <v>298837</v>
      </c>
      <c r="F41" s="19">
        <v>207090</v>
      </c>
      <c r="G41" s="19">
        <v>144347</v>
      </c>
      <c r="H41" s="27">
        <v>64288</v>
      </c>
      <c r="I41" s="9"/>
      <c r="J41" s="36"/>
      <c r="K41" s="36"/>
      <c r="L41" s="36"/>
    </row>
    <row r="42" spans="1:12" ht="25.5">
      <c r="A42" s="19" t="s">
        <v>93</v>
      </c>
      <c r="B42" s="19" t="s">
        <v>161</v>
      </c>
      <c r="C42" s="19" t="s">
        <v>149</v>
      </c>
      <c r="D42" s="19">
        <v>40423</v>
      </c>
      <c r="E42" s="19">
        <v>31789</v>
      </c>
      <c r="F42" s="19">
        <v>42697</v>
      </c>
      <c r="G42" s="19">
        <v>54281</v>
      </c>
      <c r="H42" s="27">
        <v>64168</v>
      </c>
      <c r="I42" s="9"/>
      <c r="J42" s="36"/>
      <c r="K42" s="36"/>
      <c r="L42" s="36"/>
    </row>
    <row r="43" spans="1:12" ht="25.5">
      <c r="A43" s="19" t="s">
        <v>94</v>
      </c>
      <c r="B43" s="19" t="s">
        <v>55</v>
      </c>
      <c r="C43" s="19" t="s">
        <v>149</v>
      </c>
      <c r="D43" s="19">
        <v>58185</v>
      </c>
      <c r="E43" s="19">
        <v>82468</v>
      </c>
      <c r="F43" s="19">
        <v>58410</v>
      </c>
      <c r="G43" s="19">
        <v>59052</v>
      </c>
      <c r="H43" s="27">
        <v>60606</v>
      </c>
      <c r="I43" s="9"/>
      <c r="J43" s="36"/>
      <c r="K43" s="36"/>
      <c r="L43" s="36"/>
    </row>
    <row r="44" spans="1:12" ht="25.5">
      <c r="A44" s="19" t="s">
        <v>94</v>
      </c>
      <c r="B44" s="19" t="s">
        <v>215</v>
      </c>
      <c r="C44" s="19" t="s">
        <v>149</v>
      </c>
      <c r="D44" s="19">
        <v>93571</v>
      </c>
      <c r="E44" s="19">
        <v>167398</v>
      </c>
      <c r="F44" s="19">
        <v>50042</v>
      </c>
      <c r="G44" s="19">
        <v>55690</v>
      </c>
      <c r="H44" s="27">
        <v>55286</v>
      </c>
      <c r="I44" s="9"/>
      <c r="J44" s="36"/>
      <c r="K44" s="36"/>
      <c r="L44" s="36"/>
    </row>
    <row r="45" spans="1:12" ht="25.5">
      <c r="A45" s="19" t="s">
        <v>94</v>
      </c>
      <c r="B45" s="19" t="s">
        <v>205</v>
      </c>
      <c r="C45" s="19" t="s">
        <v>149</v>
      </c>
      <c r="D45" s="19">
        <v>46230</v>
      </c>
      <c r="E45" s="19">
        <v>57203</v>
      </c>
      <c r="F45" s="19">
        <v>46614</v>
      </c>
      <c r="G45" s="19">
        <v>53788</v>
      </c>
      <c r="H45" s="27">
        <v>53374</v>
      </c>
      <c r="I45" s="9"/>
      <c r="J45" s="36"/>
      <c r="K45" s="36"/>
      <c r="L45" s="36"/>
    </row>
    <row r="46" spans="1:12" ht="25.5">
      <c r="A46" s="19" t="s">
        <v>94</v>
      </c>
      <c r="B46" s="19" t="s">
        <v>222</v>
      </c>
      <c r="C46" s="19" t="s">
        <v>149</v>
      </c>
      <c r="D46" s="19">
        <v>86085</v>
      </c>
      <c r="E46" s="19">
        <v>154006</v>
      </c>
      <c r="F46" s="19">
        <v>46039</v>
      </c>
      <c r="G46" s="19">
        <v>51235</v>
      </c>
      <c r="H46" s="27">
        <v>50863</v>
      </c>
      <c r="I46" s="9"/>
      <c r="J46" s="36"/>
      <c r="K46" s="36"/>
      <c r="L46" s="36"/>
    </row>
    <row r="47" spans="1:12" ht="25.5">
      <c r="A47" s="19" t="s">
        <v>94</v>
      </c>
      <c r="B47" s="19" t="s">
        <v>170</v>
      </c>
      <c r="C47" s="19" t="s">
        <v>149</v>
      </c>
      <c r="D47" s="19">
        <v>31346</v>
      </c>
      <c r="E47" s="19">
        <v>29945</v>
      </c>
      <c r="F47" s="19">
        <v>36707</v>
      </c>
      <c r="G47" s="19">
        <v>30350</v>
      </c>
      <c r="H47" s="27">
        <v>30493</v>
      </c>
      <c r="I47" s="9"/>
      <c r="J47" s="36"/>
      <c r="K47" s="36"/>
      <c r="L47" s="36"/>
    </row>
    <row r="48" spans="1:12" ht="25.5">
      <c r="A48" s="19" t="s">
        <v>94</v>
      </c>
      <c r="B48" s="19" t="s">
        <v>49</v>
      </c>
      <c r="C48" s="19" t="s">
        <v>149</v>
      </c>
      <c r="D48" s="19">
        <v>32968</v>
      </c>
      <c r="E48" s="19">
        <v>26796</v>
      </c>
      <c r="F48" s="19">
        <v>27943</v>
      </c>
      <c r="G48" s="19">
        <v>29142</v>
      </c>
      <c r="H48" s="27">
        <v>29519</v>
      </c>
      <c r="I48" s="9"/>
      <c r="J48" s="36"/>
      <c r="K48" s="36"/>
      <c r="L48" s="36"/>
    </row>
    <row r="49" spans="1:12" ht="25.5">
      <c r="A49" s="19" t="s">
        <v>94</v>
      </c>
      <c r="B49" s="19" t="s">
        <v>220</v>
      </c>
      <c r="C49" s="19" t="s">
        <v>149</v>
      </c>
      <c r="D49" s="19">
        <v>29265</v>
      </c>
      <c r="E49" s="19">
        <v>28968</v>
      </c>
      <c r="F49" s="19">
        <v>28174</v>
      </c>
      <c r="G49" s="19">
        <v>28779</v>
      </c>
      <c r="H49" s="27">
        <v>28148</v>
      </c>
      <c r="I49" s="9"/>
      <c r="J49" s="36"/>
      <c r="K49" s="36"/>
      <c r="L49" s="36"/>
    </row>
    <row r="50" spans="1:12" ht="25.5">
      <c r="A50" s="19" t="s">
        <v>94</v>
      </c>
      <c r="B50" s="19" t="s">
        <v>50</v>
      </c>
      <c r="C50" s="19" t="s">
        <v>149</v>
      </c>
      <c r="D50" s="19">
        <v>20010</v>
      </c>
      <c r="E50" s="19">
        <v>27863</v>
      </c>
      <c r="F50" s="19">
        <v>26920</v>
      </c>
      <c r="G50" s="19">
        <v>27315</v>
      </c>
      <c r="H50" s="27">
        <v>27631</v>
      </c>
      <c r="I50" s="9"/>
      <c r="J50" s="36"/>
      <c r="K50" s="36"/>
      <c r="L50" s="36"/>
    </row>
    <row r="51" spans="1:12" ht="25.5">
      <c r="A51" s="19" t="s">
        <v>94</v>
      </c>
      <c r="B51" s="19" t="s">
        <v>173</v>
      </c>
      <c r="C51" s="19" t="s">
        <v>149</v>
      </c>
      <c r="D51" s="19">
        <v>12787</v>
      </c>
      <c r="E51" s="19">
        <v>14112</v>
      </c>
      <c r="F51" s="19">
        <v>18644</v>
      </c>
      <c r="G51" s="19">
        <v>18806</v>
      </c>
      <c r="H51" s="27">
        <v>20843</v>
      </c>
      <c r="I51" s="9"/>
      <c r="J51" s="36"/>
      <c r="K51" s="36"/>
      <c r="L51" s="36"/>
    </row>
    <row r="52" spans="1:12" ht="25.5">
      <c r="A52" s="19" t="s">
        <v>94</v>
      </c>
      <c r="B52" s="19" t="s">
        <v>209</v>
      </c>
      <c r="C52" s="19" t="s">
        <v>149</v>
      </c>
      <c r="D52" s="19">
        <v>14961</v>
      </c>
      <c r="E52" s="19">
        <v>15946</v>
      </c>
      <c r="F52" s="19">
        <v>17047</v>
      </c>
      <c r="G52" s="19">
        <v>19849</v>
      </c>
      <c r="H52" s="27">
        <v>19631</v>
      </c>
      <c r="I52" s="9"/>
      <c r="J52" s="36"/>
      <c r="K52" s="36"/>
      <c r="L52" s="36"/>
    </row>
    <row r="53" spans="1:12" ht="25.5">
      <c r="A53" s="19" t="s">
        <v>93</v>
      </c>
      <c r="B53" s="19" t="s">
        <v>164</v>
      </c>
      <c r="C53" s="19" t="s">
        <v>149</v>
      </c>
      <c r="D53" s="19">
        <v>17423</v>
      </c>
      <c r="E53" s="19">
        <v>17177</v>
      </c>
      <c r="F53" s="19">
        <v>17106</v>
      </c>
      <c r="G53" s="19">
        <v>15513</v>
      </c>
      <c r="H53" s="27">
        <v>16959</v>
      </c>
      <c r="I53" s="9"/>
      <c r="J53" s="36"/>
      <c r="K53" s="36"/>
      <c r="L53" s="36"/>
    </row>
    <row r="54" spans="1:12" ht="25.5">
      <c r="A54" s="19" t="s">
        <v>94</v>
      </c>
      <c r="B54" s="19" t="s">
        <v>174</v>
      </c>
      <c r="C54" s="19" t="s">
        <v>149</v>
      </c>
      <c r="D54" s="19">
        <v>8951</v>
      </c>
      <c r="E54" s="19">
        <v>9878</v>
      </c>
      <c r="F54" s="19">
        <v>13051</v>
      </c>
      <c r="G54" s="19">
        <v>13164</v>
      </c>
      <c r="H54" s="27">
        <v>14590</v>
      </c>
      <c r="I54" s="9"/>
      <c r="J54" s="36"/>
      <c r="K54" s="36"/>
      <c r="L54" s="36"/>
    </row>
    <row r="55" spans="1:12" ht="25.5">
      <c r="A55" s="19" t="s">
        <v>94</v>
      </c>
      <c r="B55" s="19" t="s">
        <v>187</v>
      </c>
      <c r="C55" s="19" t="s">
        <v>149</v>
      </c>
      <c r="D55" s="19">
        <v>9121</v>
      </c>
      <c r="E55" s="19">
        <v>10001</v>
      </c>
      <c r="F55" s="19">
        <v>12583</v>
      </c>
      <c r="G55" s="19">
        <v>12369</v>
      </c>
      <c r="H55" s="27">
        <v>12408</v>
      </c>
      <c r="I55" s="9"/>
      <c r="J55" s="36"/>
      <c r="K55" s="36"/>
      <c r="L55" s="36"/>
    </row>
    <row r="56" spans="1:12" ht="25.5">
      <c r="A56" s="19" t="s">
        <v>93</v>
      </c>
      <c r="B56" s="19" t="s">
        <v>159</v>
      </c>
      <c r="C56" s="19" t="s">
        <v>149</v>
      </c>
      <c r="D56" s="19">
        <v>9749</v>
      </c>
      <c r="E56" s="19">
        <v>10704</v>
      </c>
      <c r="F56" s="19">
        <v>11331</v>
      </c>
      <c r="G56" s="19">
        <v>11322</v>
      </c>
      <c r="H56" s="27">
        <v>11374</v>
      </c>
      <c r="I56" s="9"/>
      <c r="J56" s="36"/>
      <c r="K56" s="36"/>
      <c r="L56" s="36"/>
    </row>
    <row r="57" spans="1:12" ht="25.5">
      <c r="A57" s="19" t="s">
        <v>94</v>
      </c>
      <c r="B57" s="19" t="s">
        <v>199</v>
      </c>
      <c r="C57" s="19" t="s">
        <v>149</v>
      </c>
      <c r="D57" s="19">
        <v>6651</v>
      </c>
      <c r="E57" s="19">
        <v>6557</v>
      </c>
      <c r="F57" s="19">
        <v>7013</v>
      </c>
      <c r="G57" s="19">
        <v>9788</v>
      </c>
      <c r="H57" s="27">
        <v>10305</v>
      </c>
      <c r="I57" s="9"/>
      <c r="J57" s="36"/>
      <c r="K57" s="36"/>
      <c r="L57" s="36"/>
    </row>
    <row r="58" spans="1:12" ht="25.5">
      <c r="A58" s="19" t="s">
        <v>93</v>
      </c>
      <c r="B58" s="19" t="s">
        <v>158</v>
      </c>
      <c r="C58" s="19" t="s">
        <v>149</v>
      </c>
      <c r="D58" s="19">
        <v>8611</v>
      </c>
      <c r="E58" s="19">
        <v>8084</v>
      </c>
      <c r="F58" s="19">
        <v>9022</v>
      </c>
      <c r="G58" s="19">
        <v>8681</v>
      </c>
      <c r="H58" s="27">
        <v>8808</v>
      </c>
      <c r="I58" s="9"/>
      <c r="J58" s="36"/>
      <c r="K58" s="36"/>
      <c r="L58" s="36"/>
    </row>
    <row r="59" spans="1:12" ht="25.5">
      <c r="A59" s="19" t="s">
        <v>93</v>
      </c>
      <c r="B59" s="19" t="s">
        <v>156</v>
      </c>
      <c r="C59" s="19" t="s">
        <v>149</v>
      </c>
      <c r="D59" s="19">
        <v>7087</v>
      </c>
      <c r="E59" s="19">
        <v>7538</v>
      </c>
      <c r="F59" s="19">
        <v>8125</v>
      </c>
      <c r="G59" s="19">
        <v>7885</v>
      </c>
      <c r="H59" s="27">
        <v>8596</v>
      </c>
      <c r="I59" s="9"/>
      <c r="J59" s="36"/>
      <c r="K59" s="36"/>
      <c r="L59" s="36"/>
    </row>
    <row r="60" spans="1:12" ht="25.5">
      <c r="A60" s="19" t="s">
        <v>94</v>
      </c>
      <c r="B60" s="19" t="s">
        <v>186</v>
      </c>
      <c r="C60" s="19" t="s">
        <v>149</v>
      </c>
      <c r="D60" s="19">
        <v>7237</v>
      </c>
      <c r="E60" s="19">
        <v>5820</v>
      </c>
      <c r="F60" s="19">
        <v>9989</v>
      </c>
      <c r="G60" s="19">
        <v>8210</v>
      </c>
      <c r="H60" s="27">
        <v>7942</v>
      </c>
      <c r="I60" s="9"/>
      <c r="J60" s="36"/>
      <c r="K60" s="36"/>
      <c r="L60" s="36"/>
    </row>
    <row r="61" spans="1:12" ht="25.5">
      <c r="A61" s="19" t="s">
        <v>94</v>
      </c>
      <c r="B61" s="19" t="s">
        <v>193</v>
      </c>
      <c r="C61" s="19" t="s">
        <v>149</v>
      </c>
      <c r="D61" s="19">
        <v>4542</v>
      </c>
      <c r="E61" s="19">
        <v>4202</v>
      </c>
      <c r="F61" s="19">
        <v>4648</v>
      </c>
      <c r="G61" s="19">
        <v>6947</v>
      </c>
      <c r="H61" s="27">
        <v>7017</v>
      </c>
      <c r="I61" s="9"/>
      <c r="J61" s="36"/>
      <c r="K61" s="36"/>
      <c r="L61" s="36"/>
    </row>
    <row r="62" spans="1:12" ht="25.5">
      <c r="A62" s="19" t="s">
        <v>94</v>
      </c>
      <c r="B62" s="19" t="s">
        <v>61</v>
      </c>
      <c r="C62" s="19" t="s">
        <v>149</v>
      </c>
      <c r="D62" s="19">
        <v>3456</v>
      </c>
      <c r="E62" s="19">
        <v>3346</v>
      </c>
      <c r="F62" s="19">
        <v>4015</v>
      </c>
      <c r="G62" s="19">
        <v>4070</v>
      </c>
      <c r="H62" s="27">
        <v>3959</v>
      </c>
      <c r="I62" s="9"/>
      <c r="J62" s="36"/>
      <c r="K62" s="36"/>
      <c r="L62" s="36"/>
    </row>
    <row r="63" spans="1:12" ht="25.5">
      <c r="A63" s="19" t="s">
        <v>94</v>
      </c>
      <c r="B63" s="19" t="s">
        <v>194</v>
      </c>
      <c r="C63" s="19" t="s">
        <v>149</v>
      </c>
      <c r="D63" s="19">
        <v>3448</v>
      </c>
      <c r="E63" s="19">
        <v>3328</v>
      </c>
      <c r="F63" s="19">
        <v>4001</v>
      </c>
      <c r="G63" s="19">
        <v>4056</v>
      </c>
      <c r="H63" s="27">
        <v>3944</v>
      </c>
      <c r="I63" s="9"/>
      <c r="J63" s="36"/>
      <c r="K63" s="36"/>
      <c r="L63" s="36"/>
    </row>
    <row r="64" spans="1:12" ht="25.5">
      <c r="A64" s="19" t="s">
        <v>94</v>
      </c>
      <c r="B64" s="19" t="s">
        <v>192</v>
      </c>
      <c r="C64" s="19" t="s">
        <v>149</v>
      </c>
      <c r="D64" s="19">
        <v>3631</v>
      </c>
      <c r="E64" s="19">
        <v>3646</v>
      </c>
      <c r="F64" s="19">
        <v>3646</v>
      </c>
      <c r="G64" s="19">
        <v>3847</v>
      </c>
      <c r="H64" s="27">
        <v>3661</v>
      </c>
      <c r="I64" s="9"/>
      <c r="J64" s="36"/>
      <c r="K64" s="36"/>
      <c r="L64" s="36"/>
    </row>
    <row r="65" spans="1:12" ht="25.5">
      <c r="A65" s="19" t="s">
        <v>94</v>
      </c>
      <c r="B65" s="19" t="s">
        <v>206</v>
      </c>
      <c r="C65" s="19" t="s">
        <v>149</v>
      </c>
      <c r="D65" s="19">
        <v>3481</v>
      </c>
      <c r="E65" s="19">
        <v>2551</v>
      </c>
      <c r="F65" s="19">
        <v>2696</v>
      </c>
      <c r="G65" s="19">
        <v>2222</v>
      </c>
      <c r="H65" s="27">
        <v>2416</v>
      </c>
      <c r="I65" s="9"/>
      <c r="J65" s="36"/>
      <c r="K65" s="36"/>
      <c r="L65" s="36"/>
    </row>
    <row r="66" spans="1:12" ht="25.5">
      <c r="A66" s="19" t="s">
        <v>94</v>
      </c>
      <c r="B66" s="19" t="s">
        <v>223</v>
      </c>
      <c r="C66" s="19" t="s">
        <v>149</v>
      </c>
      <c r="D66" s="19">
        <v>11165</v>
      </c>
      <c r="E66" s="19">
        <v>277581</v>
      </c>
      <c r="F66" s="19">
        <v>5086</v>
      </c>
      <c r="G66" s="19">
        <v>2837</v>
      </c>
      <c r="H66" s="27">
        <v>2140</v>
      </c>
      <c r="I66" s="9"/>
      <c r="J66" s="36"/>
      <c r="K66" s="36"/>
      <c r="L66" s="36"/>
    </row>
    <row r="67" spans="1:12" ht="25.5">
      <c r="A67" s="19" t="s">
        <v>94</v>
      </c>
      <c r="B67" s="19" t="s">
        <v>201</v>
      </c>
      <c r="C67" s="19" t="s">
        <v>149</v>
      </c>
      <c r="D67" s="19">
        <v>586</v>
      </c>
      <c r="E67" s="19">
        <v>555</v>
      </c>
      <c r="F67" s="19">
        <v>1320</v>
      </c>
      <c r="G67" s="19">
        <v>1417</v>
      </c>
      <c r="H67" s="27">
        <v>1649</v>
      </c>
      <c r="I67" s="9"/>
      <c r="J67" s="36"/>
      <c r="K67" s="36"/>
      <c r="L67" s="36"/>
    </row>
    <row r="68" spans="1:12" ht="25.5">
      <c r="A68" s="19" t="s">
        <v>94</v>
      </c>
      <c r="B68" s="19" t="s">
        <v>183</v>
      </c>
      <c r="C68" s="19" t="s">
        <v>149</v>
      </c>
      <c r="D68" s="19">
        <v>1175</v>
      </c>
      <c r="E68" s="19">
        <v>1132</v>
      </c>
      <c r="F68" s="19">
        <v>1123</v>
      </c>
      <c r="G68" s="19">
        <v>1312</v>
      </c>
      <c r="H68" s="27">
        <v>1361</v>
      </c>
      <c r="I68" s="9"/>
      <c r="J68" s="36"/>
      <c r="K68" s="36"/>
      <c r="L68" s="36"/>
    </row>
    <row r="69" spans="1:12" ht="25.5">
      <c r="A69" s="19" t="s">
        <v>94</v>
      </c>
      <c r="B69" s="19" t="s">
        <v>70</v>
      </c>
      <c r="C69" s="19" t="s">
        <v>149</v>
      </c>
      <c r="D69" s="19">
        <v>1175</v>
      </c>
      <c r="E69" s="19">
        <v>1132</v>
      </c>
      <c r="F69" s="19">
        <v>1123</v>
      </c>
      <c r="G69" s="19">
        <v>1312</v>
      </c>
      <c r="H69" s="27">
        <v>1361</v>
      </c>
      <c r="I69" s="9"/>
      <c r="J69" s="36"/>
      <c r="K69" s="36"/>
      <c r="L69" s="36"/>
    </row>
    <row r="70" spans="1:12" ht="25.5">
      <c r="A70" s="19" t="s">
        <v>93</v>
      </c>
      <c r="B70" s="19" t="s">
        <v>166</v>
      </c>
      <c r="C70" s="19" t="s">
        <v>149</v>
      </c>
      <c r="D70" s="19">
        <v>573</v>
      </c>
      <c r="E70" s="19">
        <v>976</v>
      </c>
      <c r="F70" s="19">
        <v>898</v>
      </c>
      <c r="G70" s="19">
        <v>731</v>
      </c>
      <c r="H70" s="27">
        <v>746</v>
      </c>
      <c r="I70" s="9"/>
      <c r="J70" s="36"/>
      <c r="K70" s="36"/>
      <c r="L70" s="36"/>
    </row>
    <row r="71" spans="1:12" ht="25.5">
      <c r="A71" s="19" t="s">
        <v>94</v>
      </c>
      <c r="B71" s="19" t="s">
        <v>207</v>
      </c>
      <c r="C71" s="19" t="s">
        <v>149</v>
      </c>
      <c r="D71" s="19">
        <v>451</v>
      </c>
      <c r="E71" s="19">
        <v>610</v>
      </c>
      <c r="F71" s="19">
        <v>924</v>
      </c>
      <c r="G71" s="19">
        <v>737</v>
      </c>
      <c r="H71" s="27">
        <v>683</v>
      </c>
      <c r="I71" s="9"/>
      <c r="J71" s="36"/>
      <c r="K71" s="36"/>
      <c r="L71" s="36"/>
    </row>
    <row r="72" spans="1:12" ht="25.5">
      <c r="A72" s="19" t="s">
        <v>94</v>
      </c>
      <c r="B72" s="19" t="s">
        <v>181</v>
      </c>
      <c r="C72" s="19" t="s">
        <v>149</v>
      </c>
      <c r="D72" s="19">
        <v>930</v>
      </c>
      <c r="E72" s="19">
        <v>879</v>
      </c>
      <c r="F72" s="19">
        <v>700</v>
      </c>
      <c r="G72" s="19">
        <v>654</v>
      </c>
      <c r="H72" s="27">
        <v>632</v>
      </c>
      <c r="I72" s="9"/>
      <c r="J72" s="36"/>
      <c r="K72" s="36"/>
      <c r="L72" s="36"/>
    </row>
    <row r="73" spans="1:12" ht="25.5">
      <c r="A73" s="19" t="s">
        <v>94</v>
      </c>
      <c r="B73" s="19" t="s">
        <v>216</v>
      </c>
      <c r="C73" s="19" t="s">
        <v>149</v>
      </c>
      <c r="D73" s="19">
        <v>240</v>
      </c>
      <c r="E73" s="19">
        <v>159</v>
      </c>
      <c r="F73" s="19">
        <v>172</v>
      </c>
      <c r="G73" s="19">
        <v>172</v>
      </c>
      <c r="H73" s="27">
        <v>192</v>
      </c>
      <c r="I73" s="9"/>
      <c r="J73" s="36"/>
      <c r="K73" s="36"/>
      <c r="L73" s="36"/>
    </row>
    <row r="74" spans="1:12" ht="25.5">
      <c r="A74" s="19" t="s">
        <v>93</v>
      </c>
      <c r="B74" s="19" t="s">
        <v>168</v>
      </c>
      <c r="C74" s="19" t="s">
        <v>149</v>
      </c>
      <c r="D74" s="19">
        <v>40</v>
      </c>
      <c r="E74" s="19">
        <v>40</v>
      </c>
      <c r="F74" s="19">
        <v>44</v>
      </c>
      <c r="G74" s="19">
        <v>66</v>
      </c>
      <c r="H74" s="27">
        <v>34</v>
      </c>
      <c r="I74" s="9"/>
      <c r="J74" s="36"/>
      <c r="K74" s="36"/>
      <c r="L74" s="36"/>
    </row>
    <row r="75" spans="1:12" ht="25.5">
      <c r="A75" s="19" t="s">
        <v>93</v>
      </c>
      <c r="B75" s="19" t="s">
        <v>165</v>
      </c>
      <c r="C75" s="19" t="s">
        <v>149</v>
      </c>
      <c r="D75" s="19">
        <v>12</v>
      </c>
      <c r="E75" s="19">
        <v>35</v>
      </c>
      <c r="F75" s="19">
        <v>24</v>
      </c>
      <c r="G75" s="19">
        <v>24</v>
      </c>
      <c r="H75" s="27">
        <v>27</v>
      </c>
      <c r="I75" s="9"/>
      <c r="J75" s="36"/>
      <c r="K75" s="36"/>
      <c r="L75" s="36"/>
    </row>
    <row r="76" spans="1:12" ht="25.5">
      <c r="A76" s="19" t="s">
        <v>94</v>
      </c>
      <c r="B76" s="19" t="s">
        <v>214</v>
      </c>
      <c r="C76" s="19" t="s">
        <v>149</v>
      </c>
      <c r="D76" s="19">
        <v>8</v>
      </c>
      <c r="E76" s="19">
        <v>18</v>
      </c>
      <c r="F76" s="19">
        <v>14</v>
      </c>
      <c r="G76" s="19">
        <v>14</v>
      </c>
      <c r="H76" s="27">
        <v>15</v>
      </c>
      <c r="I76" s="9"/>
      <c r="J76" s="36"/>
      <c r="K76" s="36"/>
      <c r="L76" s="36"/>
    </row>
  </sheetData>
  <mergeCells count="2">
    <mergeCell ref="A2:H2"/>
    <mergeCell ref="J2:L2"/>
  </mergeCells>
  <printOptions/>
  <pageMargins left="0.787401575" right="0.787401575" top="1" bottom="1" header="0" footer="0"/>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workbookViewId="0" topLeftCell="A1"/>
  </sheetViews>
  <sheetFormatPr defaultColWidth="11.00390625" defaultRowHeight="12.75"/>
  <cols>
    <col min="1" max="1" width="11.25390625" style="0" customWidth="1"/>
    <col min="2" max="2" width="21.00390625" style="0" customWidth="1"/>
    <col min="3" max="3" width="9.625" style="0" customWidth="1"/>
    <col min="4" max="4" width="8.00390625" style="0" customWidth="1"/>
    <col min="5" max="5" width="7.00390625" style="0" customWidth="1"/>
    <col min="6" max="7" width="7.375" style="0" customWidth="1"/>
    <col min="8" max="8" width="6.875" style="0" customWidth="1"/>
  </cols>
  <sheetData>
    <row r="1" spans="1:8" ht="12.75">
      <c r="A1" s="3" t="s">
        <v>145</v>
      </c>
      <c r="B1" s="3" t="s">
        <v>146</v>
      </c>
      <c r="C1" s="3" t="s">
        <v>147</v>
      </c>
      <c r="D1" s="3">
        <v>2003</v>
      </c>
      <c r="E1" s="3">
        <v>2004</v>
      </c>
      <c r="F1" s="3">
        <v>2005</v>
      </c>
      <c r="G1" s="3">
        <v>2006</v>
      </c>
      <c r="H1" s="3">
        <v>2007</v>
      </c>
    </row>
    <row r="2" spans="1:8" ht="25.5">
      <c r="A2" s="2" t="s">
        <v>143</v>
      </c>
      <c r="B2" s="2" t="s">
        <v>53</v>
      </c>
      <c r="C2" s="2" t="s">
        <v>149</v>
      </c>
      <c r="D2" s="2">
        <v>291713</v>
      </c>
      <c r="E2" s="2">
        <v>249878</v>
      </c>
      <c r="F2" s="2">
        <v>284488</v>
      </c>
      <c r="G2" s="2">
        <v>137323</v>
      </c>
      <c r="H2" s="2">
        <v>162400</v>
      </c>
    </row>
    <row r="3" spans="1:8" ht="25.5">
      <c r="A3" s="2" t="s">
        <v>143</v>
      </c>
      <c r="B3" s="2" t="s">
        <v>52</v>
      </c>
      <c r="C3" s="2" t="s">
        <v>149</v>
      </c>
      <c r="D3" s="2">
        <v>91424</v>
      </c>
      <c r="E3" s="2">
        <v>97429</v>
      </c>
      <c r="F3" s="2">
        <v>90284</v>
      </c>
      <c r="G3" s="2">
        <v>98615</v>
      </c>
      <c r="H3" s="2">
        <v>99424</v>
      </c>
    </row>
    <row r="4" spans="1:8" ht="25.5">
      <c r="A4" s="2" t="s">
        <v>143</v>
      </c>
      <c r="B4" s="2" t="s">
        <v>152</v>
      </c>
      <c r="C4" s="2" t="s">
        <v>149</v>
      </c>
      <c r="D4" s="2">
        <v>42970</v>
      </c>
      <c r="E4" s="2">
        <v>77813</v>
      </c>
      <c r="F4" s="2">
        <v>77988</v>
      </c>
      <c r="G4" s="2">
        <v>77545</v>
      </c>
      <c r="H4" s="2">
        <v>91901</v>
      </c>
    </row>
    <row r="5" spans="1:8" ht="25.5">
      <c r="A5" s="2" t="s">
        <v>143</v>
      </c>
      <c r="B5" s="2" t="s">
        <v>198</v>
      </c>
      <c r="C5" s="2" t="s">
        <v>149</v>
      </c>
      <c r="D5" s="2">
        <v>35824</v>
      </c>
      <c r="E5" s="2">
        <v>37164</v>
      </c>
      <c r="F5" s="2">
        <v>36683</v>
      </c>
      <c r="G5" s="2">
        <v>35988</v>
      </c>
      <c r="H5" s="2">
        <v>34759</v>
      </c>
    </row>
    <row r="6" spans="1:8" ht="25.5">
      <c r="A6" s="2" t="s">
        <v>143</v>
      </c>
      <c r="B6" s="2" t="s">
        <v>215</v>
      </c>
      <c r="C6" s="2" t="s">
        <v>149</v>
      </c>
      <c r="D6" s="2">
        <v>45418</v>
      </c>
      <c r="E6" s="2">
        <v>41292</v>
      </c>
      <c r="F6" s="2">
        <v>28113</v>
      </c>
      <c r="G6" s="2">
        <v>29472</v>
      </c>
      <c r="H6" s="2">
        <v>31533</v>
      </c>
    </row>
    <row r="7" spans="1:8" ht="25.5">
      <c r="A7" s="2" t="s">
        <v>143</v>
      </c>
      <c r="B7" s="2" t="s">
        <v>221</v>
      </c>
      <c r="C7" s="2" t="s">
        <v>149</v>
      </c>
      <c r="D7" s="2">
        <v>45418</v>
      </c>
      <c r="E7" s="2">
        <v>41292</v>
      </c>
      <c r="F7" s="2">
        <v>28113</v>
      </c>
      <c r="G7" s="2">
        <v>29472</v>
      </c>
      <c r="H7" s="2">
        <v>31533</v>
      </c>
    </row>
    <row r="8" spans="1:8" ht="25.5">
      <c r="A8" s="2" t="s">
        <v>143</v>
      </c>
      <c r="B8" s="2" t="s">
        <v>222</v>
      </c>
      <c r="C8" s="2" t="s">
        <v>149</v>
      </c>
      <c r="D8" s="2">
        <v>41784</v>
      </c>
      <c r="E8" s="2">
        <v>37989</v>
      </c>
      <c r="F8" s="2">
        <v>25864</v>
      </c>
      <c r="G8" s="2">
        <v>27114</v>
      </c>
      <c r="H8" s="2">
        <v>29010</v>
      </c>
    </row>
    <row r="9" spans="1:8" ht="25.5">
      <c r="A9" s="2" t="s">
        <v>143</v>
      </c>
      <c r="B9" s="2" t="s">
        <v>184</v>
      </c>
      <c r="C9" s="2" t="s">
        <v>149</v>
      </c>
      <c r="D9" s="2">
        <v>61542</v>
      </c>
      <c r="E9" s="2">
        <v>39477</v>
      </c>
      <c r="F9" s="2">
        <v>51640</v>
      </c>
      <c r="G9" s="2">
        <v>23440</v>
      </c>
      <c r="H9" s="2">
        <v>26292</v>
      </c>
    </row>
    <row r="10" spans="1:8" ht="25.5">
      <c r="A10" s="2" t="s">
        <v>143</v>
      </c>
      <c r="B10" s="2" t="s">
        <v>169</v>
      </c>
      <c r="C10" s="2" t="s">
        <v>149</v>
      </c>
      <c r="D10" s="2">
        <v>24128</v>
      </c>
      <c r="E10" s="2">
        <v>23159</v>
      </c>
      <c r="F10" s="2">
        <v>24923</v>
      </c>
      <c r="G10" s="2">
        <v>24040</v>
      </c>
      <c r="H10" s="2">
        <v>25131</v>
      </c>
    </row>
    <row r="11" spans="1:8" ht="25.5">
      <c r="A11" s="2" t="s">
        <v>143</v>
      </c>
      <c r="B11" s="2" t="s">
        <v>163</v>
      </c>
      <c r="C11" s="2" t="s">
        <v>149</v>
      </c>
      <c r="D11" s="2">
        <v>20206</v>
      </c>
      <c r="E11" s="2">
        <v>25490</v>
      </c>
      <c r="F11" s="2">
        <v>24130</v>
      </c>
      <c r="G11" s="2">
        <v>23776</v>
      </c>
      <c r="H11" s="2">
        <v>24915</v>
      </c>
    </row>
    <row r="12" spans="1:8" ht="25.5">
      <c r="A12" s="2" t="s">
        <v>143</v>
      </c>
      <c r="B12" s="2" t="s">
        <v>150</v>
      </c>
      <c r="C12" s="2" t="s">
        <v>149</v>
      </c>
      <c r="D12" s="2">
        <v>31807</v>
      </c>
      <c r="E12" s="2">
        <v>32658</v>
      </c>
      <c r="F12" s="2">
        <v>32952</v>
      </c>
      <c r="G12" s="2">
        <v>23483</v>
      </c>
      <c r="H12" s="2">
        <v>23410</v>
      </c>
    </row>
    <row r="13" spans="1:8" ht="25.5">
      <c r="A13" s="2" t="s">
        <v>143</v>
      </c>
      <c r="B13" s="2" t="s">
        <v>179</v>
      </c>
      <c r="C13" s="2" t="s">
        <v>149</v>
      </c>
      <c r="D13" s="2">
        <v>19173</v>
      </c>
      <c r="E13" s="2">
        <v>18251</v>
      </c>
      <c r="F13" s="2">
        <v>19129</v>
      </c>
      <c r="G13" s="2">
        <v>19426</v>
      </c>
      <c r="H13" s="2">
        <v>17992</v>
      </c>
    </row>
    <row r="14" spans="1:8" ht="25.5">
      <c r="A14" s="2" t="s">
        <v>143</v>
      </c>
      <c r="B14" s="2" t="s">
        <v>151</v>
      </c>
      <c r="C14" s="2" t="s">
        <v>149</v>
      </c>
      <c r="D14" s="2">
        <v>15204</v>
      </c>
      <c r="E14" s="2">
        <v>15079</v>
      </c>
      <c r="F14" s="2">
        <v>16484</v>
      </c>
      <c r="G14" s="2">
        <v>15412</v>
      </c>
      <c r="H14" s="2">
        <v>16070</v>
      </c>
    </row>
    <row r="15" spans="1:8" ht="25.5">
      <c r="A15" s="2" t="s">
        <v>143</v>
      </c>
      <c r="B15" s="2" t="s">
        <v>188</v>
      </c>
      <c r="C15" s="2" t="s">
        <v>149</v>
      </c>
      <c r="D15" s="2">
        <v>12101</v>
      </c>
      <c r="E15" s="2">
        <v>12208</v>
      </c>
      <c r="F15" s="2">
        <v>13309</v>
      </c>
      <c r="G15" s="2">
        <v>11766</v>
      </c>
      <c r="H15" s="2">
        <v>13098</v>
      </c>
    </row>
    <row r="16" spans="1:8" ht="25.5">
      <c r="A16" s="2" t="s">
        <v>143</v>
      </c>
      <c r="B16" s="2" t="s">
        <v>51</v>
      </c>
      <c r="C16" s="2" t="s">
        <v>149</v>
      </c>
      <c r="D16" s="2">
        <v>10535</v>
      </c>
      <c r="E16" s="2">
        <v>10121</v>
      </c>
      <c r="F16" s="2">
        <v>9587</v>
      </c>
      <c r="G16" s="2">
        <v>9798</v>
      </c>
      <c r="H16" s="2">
        <v>11510</v>
      </c>
    </row>
    <row r="17" spans="1:8" ht="25.5">
      <c r="A17" s="2" t="s">
        <v>143</v>
      </c>
      <c r="B17" s="2" t="s">
        <v>204</v>
      </c>
      <c r="C17" s="2" t="s">
        <v>149</v>
      </c>
      <c r="D17" s="2">
        <v>10135</v>
      </c>
      <c r="E17" s="2">
        <v>10688</v>
      </c>
      <c r="F17" s="2">
        <v>10792</v>
      </c>
      <c r="G17" s="2">
        <v>10503</v>
      </c>
      <c r="H17" s="2">
        <v>10302</v>
      </c>
    </row>
    <row r="18" spans="1:8" ht="25.5">
      <c r="A18" s="2" t="s">
        <v>143</v>
      </c>
      <c r="B18" s="2" t="s">
        <v>189</v>
      </c>
      <c r="C18" s="2" t="s">
        <v>149</v>
      </c>
      <c r="D18" s="2">
        <v>9576</v>
      </c>
      <c r="E18" s="2">
        <v>7609</v>
      </c>
      <c r="F18" s="2">
        <v>8645</v>
      </c>
      <c r="G18" s="2">
        <v>8874</v>
      </c>
      <c r="H18" s="2">
        <v>8558</v>
      </c>
    </row>
    <row r="19" spans="1:8" ht="25.5">
      <c r="A19" s="2" t="s">
        <v>143</v>
      </c>
      <c r="B19" s="2" t="s">
        <v>193</v>
      </c>
      <c r="C19" s="2" t="s">
        <v>149</v>
      </c>
      <c r="D19" s="2">
        <v>11972</v>
      </c>
      <c r="E19" s="2">
        <v>8088</v>
      </c>
      <c r="F19" s="2">
        <v>13667</v>
      </c>
      <c r="G19" s="2">
        <v>9436</v>
      </c>
      <c r="H19" s="2">
        <v>6523</v>
      </c>
    </row>
    <row r="20" spans="1:8" ht="25.5">
      <c r="A20" s="2" t="s">
        <v>143</v>
      </c>
      <c r="B20" s="2" t="s">
        <v>205</v>
      </c>
      <c r="C20" s="2" t="s">
        <v>149</v>
      </c>
      <c r="D20" s="2">
        <v>3968</v>
      </c>
      <c r="E20" s="2">
        <v>4659</v>
      </c>
      <c r="F20" s="2">
        <v>5322</v>
      </c>
      <c r="G20" s="2">
        <v>5028</v>
      </c>
      <c r="H20" s="2">
        <v>4683</v>
      </c>
    </row>
    <row r="21" spans="1:8" ht="25.5">
      <c r="A21" s="2" t="s">
        <v>143</v>
      </c>
      <c r="B21" s="2" t="s">
        <v>203</v>
      </c>
      <c r="C21" s="2" t="s">
        <v>149</v>
      </c>
      <c r="D21" s="2">
        <v>6970</v>
      </c>
      <c r="E21" s="2">
        <v>7908</v>
      </c>
      <c r="F21" s="2">
        <v>6185</v>
      </c>
      <c r="G21" s="2">
        <v>12097</v>
      </c>
      <c r="H21" s="2">
        <v>4287</v>
      </c>
    </row>
    <row r="22" spans="1:8" ht="25.5">
      <c r="A22" s="2" t="s">
        <v>143</v>
      </c>
      <c r="B22" s="2" t="s">
        <v>171</v>
      </c>
      <c r="C22" s="2" t="s">
        <v>149</v>
      </c>
      <c r="D22" s="2">
        <v>3527</v>
      </c>
      <c r="E22" s="2">
        <v>4510</v>
      </c>
      <c r="F22" s="2">
        <v>4789</v>
      </c>
      <c r="G22" s="2">
        <v>3878</v>
      </c>
      <c r="H22" s="2">
        <v>4149</v>
      </c>
    </row>
    <row r="23" spans="1:8" ht="25.5">
      <c r="A23" s="2" t="s">
        <v>143</v>
      </c>
      <c r="B23" s="2" t="s">
        <v>55</v>
      </c>
      <c r="C23" s="2" t="s">
        <v>149</v>
      </c>
      <c r="D23" s="2">
        <v>2924</v>
      </c>
      <c r="E23" s="2">
        <v>2849</v>
      </c>
      <c r="F23" s="2">
        <v>2928</v>
      </c>
      <c r="G23" s="2">
        <v>3077</v>
      </c>
      <c r="H23" s="2">
        <v>3207</v>
      </c>
    </row>
    <row r="24" spans="1:8" ht="25.5">
      <c r="A24" s="2" t="s">
        <v>143</v>
      </c>
      <c r="B24" s="2" t="s">
        <v>202</v>
      </c>
      <c r="C24" s="2" t="s">
        <v>149</v>
      </c>
      <c r="D24" s="2">
        <v>4649</v>
      </c>
      <c r="E24" s="2">
        <v>5274</v>
      </c>
      <c r="F24" s="2">
        <v>4125</v>
      </c>
      <c r="G24" s="2">
        <v>8069</v>
      </c>
      <c r="H24" s="2">
        <v>2859</v>
      </c>
    </row>
    <row r="25" spans="1:8" ht="25.5">
      <c r="A25" s="2" t="s">
        <v>143</v>
      </c>
      <c r="B25" s="2" t="s">
        <v>157</v>
      </c>
      <c r="C25" s="2" t="s">
        <v>149</v>
      </c>
      <c r="D25" s="2">
        <v>2035</v>
      </c>
      <c r="E25" s="2">
        <v>2624</v>
      </c>
      <c r="F25" s="2">
        <v>2639</v>
      </c>
      <c r="G25" s="2">
        <v>2326</v>
      </c>
      <c r="H25" s="2">
        <v>2686</v>
      </c>
    </row>
    <row r="26" spans="1:8" ht="25.5">
      <c r="A26" s="2" t="s">
        <v>143</v>
      </c>
      <c r="B26" s="2" t="s">
        <v>47</v>
      </c>
      <c r="C26" s="2" t="s">
        <v>149</v>
      </c>
      <c r="D26" s="2">
        <v>2841</v>
      </c>
      <c r="E26" s="2">
        <v>2713</v>
      </c>
      <c r="F26" s="2">
        <v>2804</v>
      </c>
      <c r="G26" s="2">
        <v>2716</v>
      </c>
      <c r="H26" s="2">
        <v>2661</v>
      </c>
    </row>
    <row r="27" spans="1:8" ht="25.5">
      <c r="A27" s="2" t="s">
        <v>143</v>
      </c>
      <c r="B27" s="2" t="s">
        <v>213</v>
      </c>
      <c r="C27" s="2" t="s">
        <v>149</v>
      </c>
      <c r="D27" s="2">
        <v>3339</v>
      </c>
      <c r="E27" s="2">
        <v>2769</v>
      </c>
      <c r="F27" s="2">
        <v>2185</v>
      </c>
      <c r="G27" s="2">
        <v>2230</v>
      </c>
      <c r="H27" s="2">
        <v>1699</v>
      </c>
    </row>
    <row r="28" spans="1:8" ht="25.5">
      <c r="A28" s="2" t="s">
        <v>143</v>
      </c>
      <c r="B28" s="2" t="s">
        <v>196</v>
      </c>
      <c r="C28" s="2" t="s">
        <v>149</v>
      </c>
      <c r="D28" s="2">
        <v>1145</v>
      </c>
      <c r="E28" s="2">
        <v>1282</v>
      </c>
      <c r="F28" s="2">
        <v>1394</v>
      </c>
      <c r="G28" s="2">
        <v>1259</v>
      </c>
      <c r="H28" s="2">
        <v>1293</v>
      </c>
    </row>
    <row r="29" spans="1:8" ht="25.5">
      <c r="A29" s="2" t="s">
        <v>143</v>
      </c>
      <c r="B29" s="2" t="s">
        <v>50</v>
      </c>
      <c r="C29" s="2" t="s">
        <v>149</v>
      </c>
      <c r="D29" s="2">
        <v>1505</v>
      </c>
      <c r="E29" s="2">
        <v>837</v>
      </c>
      <c r="F29" s="2">
        <v>844</v>
      </c>
      <c r="G29" s="2">
        <v>1226</v>
      </c>
      <c r="H29" s="2">
        <v>1279</v>
      </c>
    </row>
    <row r="30" spans="1:8" ht="25.5">
      <c r="A30" s="2" t="s">
        <v>143</v>
      </c>
      <c r="B30" s="2" t="s">
        <v>173</v>
      </c>
      <c r="C30" s="2" t="s">
        <v>149</v>
      </c>
      <c r="D30" s="2">
        <v>2245</v>
      </c>
      <c r="E30" s="2">
        <v>1681</v>
      </c>
      <c r="F30" s="2">
        <v>1657</v>
      </c>
      <c r="G30" s="2">
        <v>1284</v>
      </c>
      <c r="H30" s="2">
        <v>940</v>
      </c>
    </row>
    <row r="31" spans="1:8" ht="25.5">
      <c r="A31" s="2" t="s">
        <v>143</v>
      </c>
      <c r="B31" s="2" t="s">
        <v>153</v>
      </c>
      <c r="C31" s="2" t="s">
        <v>149</v>
      </c>
      <c r="D31" s="2">
        <v>1359</v>
      </c>
      <c r="E31" s="2">
        <v>1825</v>
      </c>
      <c r="F31" s="2">
        <v>1322</v>
      </c>
      <c r="G31" s="2">
        <v>1050</v>
      </c>
      <c r="H31" s="2">
        <v>912</v>
      </c>
    </row>
    <row r="32" spans="1:8" ht="25.5">
      <c r="A32" s="2" t="s">
        <v>143</v>
      </c>
      <c r="B32" s="2" t="s">
        <v>178</v>
      </c>
      <c r="C32" s="2" t="s">
        <v>149</v>
      </c>
      <c r="D32" s="2">
        <v>656</v>
      </c>
      <c r="E32" s="2">
        <v>595</v>
      </c>
      <c r="F32" s="2">
        <v>634</v>
      </c>
      <c r="G32" s="2">
        <v>652</v>
      </c>
      <c r="H32" s="2">
        <v>703</v>
      </c>
    </row>
    <row r="33" spans="1:8" ht="25.5">
      <c r="A33" s="2" t="s">
        <v>143</v>
      </c>
      <c r="B33" s="2" t="s">
        <v>174</v>
      </c>
      <c r="C33" s="2" t="s">
        <v>149</v>
      </c>
      <c r="D33" s="2">
        <v>1572</v>
      </c>
      <c r="E33" s="2">
        <v>1177</v>
      </c>
      <c r="F33" s="2">
        <v>1160</v>
      </c>
      <c r="G33" s="2">
        <v>899</v>
      </c>
      <c r="H33" s="2">
        <v>658</v>
      </c>
    </row>
    <row r="34" spans="1:8" ht="25.5">
      <c r="A34" s="2" t="s">
        <v>143</v>
      </c>
      <c r="B34" s="2" t="s">
        <v>219</v>
      </c>
      <c r="C34" s="2" t="s">
        <v>149</v>
      </c>
      <c r="D34" s="2">
        <v>620</v>
      </c>
      <c r="E34" s="2">
        <v>600</v>
      </c>
      <c r="F34" s="2">
        <v>600</v>
      </c>
      <c r="G34" s="2">
        <v>600</v>
      </c>
      <c r="H34" s="2">
        <v>600</v>
      </c>
    </row>
    <row r="35" spans="1:8" ht="25.5">
      <c r="A35" s="2" t="s">
        <v>143</v>
      </c>
      <c r="B35" s="2" t="s">
        <v>69</v>
      </c>
      <c r="C35" s="2" t="s">
        <v>149</v>
      </c>
      <c r="D35" s="2">
        <v>620</v>
      </c>
      <c r="E35" s="2">
        <v>600</v>
      </c>
      <c r="F35" s="2">
        <v>600</v>
      </c>
      <c r="G35" s="2">
        <v>600</v>
      </c>
      <c r="H35" s="2">
        <v>600</v>
      </c>
    </row>
    <row r="36" spans="1:8" ht="25.5">
      <c r="A36" s="2" t="s">
        <v>143</v>
      </c>
      <c r="B36" s="2" t="s">
        <v>159</v>
      </c>
      <c r="C36" s="2" t="s">
        <v>149</v>
      </c>
      <c r="D36" s="2">
        <v>527</v>
      </c>
      <c r="E36" s="2">
        <v>525</v>
      </c>
      <c r="F36" s="2">
        <v>540</v>
      </c>
      <c r="G36" s="2">
        <v>525</v>
      </c>
      <c r="H36" s="2">
        <v>533</v>
      </c>
    </row>
    <row r="37" spans="1:8" ht="25.5">
      <c r="A37" s="2" t="s">
        <v>143</v>
      </c>
      <c r="B37" s="2" t="s">
        <v>170</v>
      </c>
      <c r="C37" s="2" t="s">
        <v>149</v>
      </c>
      <c r="D37" s="2">
        <v>436</v>
      </c>
      <c r="E37" s="2">
        <v>430</v>
      </c>
      <c r="F37" s="2">
        <v>410</v>
      </c>
      <c r="G37" s="2">
        <v>333</v>
      </c>
      <c r="H37" s="2">
        <v>302</v>
      </c>
    </row>
    <row r="38" spans="1:8" ht="25.5">
      <c r="A38" s="2" t="s">
        <v>143</v>
      </c>
      <c r="B38" s="2" t="s">
        <v>183</v>
      </c>
      <c r="C38" s="2" t="s">
        <v>149</v>
      </c>
      <c r="D38" s="2">
        <v>116</v>
      </c>
      <c r="E38" s="2">
        <v>114</v>
      </c>
      <c r="F38" s="2">
        <v>140</v>
      </c>
      <c r="G38" s="2">
        <v>170</v>
      </c>
      <c r="H38" s="2">
        <v>202</v>
      </c>
    </row>
    <row r="39" spans="1:8" ht="25.5">
      <c r="A39" s="2" t="s">
        <v>143</v>
      </c>
      <c r="B39" s="2" t="s">
        <v>70</v>
      </c>
      <c r="C39" s="2" t="s">
        <v>149</v>
      </c>
      <c r="D39" s="2">
        <v>116</v>
      </c>
      <c r="E39" s="2">
        <v>114</v>
      </c>
      <c r="F39" s="2">
        <v>140</v>
      </c>
      <c r="G39" s="2">
        <v>170</v>
      </c>
      <c r="H39" s="2">
        <v>202</v>
      </c>
    </row>
    <row r="40" spans="1:8" ht="25.5">
      <c r="A40" s="2" t="s">
        <v>143</v>
      </c>
      <c r="B40" s="2" t="s">
        <v>197</v>
      </c>
      <c r="C40" s="2" t="s">
        <v>149</v>
      </c>
      <c r="D40" s="2">
        <v>5</v>
      </c>
      <c r="E40" s="2">
        <v>28</v>
      </c>
      <c r="F40" s="2">
        <v>33</v>
      </c>
      <c r="G40" s="2">
        <v>45</v>
      </c>
      <c r="H40" s="2">
        <v>48</v>
      </c>
    </row>
    <row r="41" spans="1:8" ht="25.5">
      <c r="A41" s="2" t="s">
        <v>143</v>
      </c>
      <c r="B41" s="2" t="s">
        <v>186</v>
      </c>
      <c r="C41" s="2" t="s">
        <v>149</v>
      </c>
      <c r="D41" s="2">
        <v>36</v>
      </c>
      <c r="E41" s="2">
        <v>37</v>
      </c>
      <c r="F41" s="2">
        <v>38</v>
      </c>
      <c r="G41" s="2">
        <v>39</v>
      </c>
      <c r="H41" s="2">
        <v>40</v>
      </c>
    </row>
    <row r="42" spans="1:8" ht="25.5">
      <c r="A42" s="2" t="s">
        <v>143</v>
      </c>
      <c r="B42" s="2" t="s">
        <v>168</v>
      </c>
      <c r="C42" s="2" t="s">
        <v>149</v>
      </c>
      <c r="D42" s="2">
        <v>10</v>
      </c>
      <c r="E42" s="2">
        <v>11</v>
      </c>
      <c r="F42" s="2">
        <v>12</v>
      </c>
      <c r="G42" s="2">
        <v>13</v>
      </c>
      <c r="H42" s="2">
        <v>15</v>
      </c>
    </row>
    <row r="43" spans="1:8" ht="25.5">
      <c r="A43" s="2" t="s">
        <v>143</v>
      </c>
      <c r="B43" s="2" t="s">
        <v>164</v>
      </c>
      <c r="C43" s="2" t="s">
        <v>149</v>
      </c>
      <c r="D43" s="2">
        <v>7</v>
      </c>
      <c r="E43" s="2">
        <v>10</v>
      </c>
      <c r="F43" s="2">
        <v>9</v>
      </c>
      <c r="G43" s="2">
        <v>10</v>
      </c>
      <c r="H43" s="2">
        <v>10</v>
      </c>
    </row>
    <row r="44" spans="1:8" ht="25.5">
      <c r="A44" s="2" t="s">
        <v>143</v>
      </c>
      <c r="B44" s="2" t="s">
        <v>67</v>
      </c>
      <c r="C44" s="2" t="s">
        <v>149</v>
      </c>
      <c r="D44" s="2">
        <v>7</v>
      </c>
      <c r="E44" s="2">
        <v>10</v>
      </c>
      <c r="F44" s="2">
        <v>9</v>
      </c>
      <c r="G44" s="2">
        <v>10</v>
      </c>
      <c r="H44" s="2">
        <v>10</v>
      </c>
    </row>
    <row r="45" spans="1:8" ht="25.5">
      <c r="A45" s="2" t="s">
        <v>143</v>
      </c>
      <c r="B45" s="2" t="s">
        <v>211</v>
      </c>
      <c r="C45" s="2" t="s">
        <v>149</v>
      </c>
      <c r="D45" s="2">
        <v>4</v>
      </c>
      <c r="E45" s="2">
        <v>3</v>
      </c>
      <c r="F45" s="2">
        <v>3</v>
      </c>
      <c r="G45" s="2">
        <v>4</v>
      </c>
      <c r="H45" s="2">
        <v>3</v>
      </c>
    </row>
    <row r="46" spans="1:8" ht="25.5">
      <c r="A46" s="2" t="s">
        <v>143</v>
      </c>
      <c r="B46" s="2" t="s">
        <v>158</v>
      </c>
      <c r="C46" s="2" t="s">
        <v>149</v>
      </c>
      <c r="D46" s="2">
        <v>0</v>
      </c>
      <c r="E46" s="2">
        <v>0</v>
      </c>
      <c r="F46" s="2">
        <v>0</v>
      </c>
      <c r="G46" s="2">
        <v>0</v>
      </c>
      <c r="H46" s="2">
        <v>0</v>
      </c>
    </row>
  </sheetData>
  <printOptions/>
  <pageMargins left="0.787401575" right="0.7874015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Jk</cp:lastModifiedBy>
  <cp:lastPrinted>2011-02-10T11:41:32Z</cp:lastPrinted>
  <dcterms:created xsi:type="dcterms:W3CDTF">2011-02-09T16:22:22Z</dcterms:created>
  <dcterms:modified xsi:type="dcterms:W3CDTF">2011-05-15T22:11:09Z</dcterms:modified>
  <cp:category/>
  <cp:version/>
  <cp:contentType/>
  <cp:contentStatus/>
</cp:coreProperties>
</file>